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7770" windowHeight="5520" activeTab="1"/>
  </bookViews>
  <sheets>
    <sheet name="Data" sheetId="1" r:id="rId1"/>
    <sheet name="Amended data" sheetId="11" r:id="rId2"/>
    <sheet name="Parameters" sheetId="2" r:id="rId3"/>
    <sheet name="Current speeds" sheetId="3" r:id="rId4"/>
    <sheet name="Minister triathlon" sheetId="4" r:id="rId5"/>
    <sheet name="Cashflows" sheetId="12" r:id="rId6"/>
    <sheet name="Summary results" sheetId="9" r:id="rId7"/>
    <sheet name="Minister triathlon Adj Swim" sheetId="13" r:id="rId8"/>
    <sheet name="Cashflows Adj Swim" sheetId="14" r:id="rId9"/>
  </sheets>
  <definedNames>
    <definedName name="_xlnm._FilterDatabase" localSheetId="3" hidden="1">'Current speeds'!$A$8:$I$38</definedName>
    <definedName name="_xlnm._FilterDatabase" localSheetId="0" hidden="1">Data!$A$3:$H$34</definedName>
    <definedName name="_xlnm._FilterDatabase" localSheetId="4" hidden="1">'Minister triathlon'!$A$11:$K$41</definedName>
    <definedName name="_xlnm._FilterDatabase" localSheetId="7" hidden="1">'Minister triathlon Adj Swim'!$A$11:$K$41</definedName>
    <definedName name="Bike_1">Parameters!$C$10</definedName>
    <definedName name="bike_param">Parameters!$B$5</definedName>
    <definedName name="Bike_sprint">Parameters!$B$10</definedName>
    <definedName name="Hour">Parameters!$B$13</definedName>
    <definedName name="Points_table">Parameters!$I$4:$J$11</definedName>
    <definedName name="Run_1">Parameters!$C$11</definedName>
    <definedName name="run_param">Parameters!$B$6</definedName>
    <definedName name="Run_sprint">Parameters!$B$11</definedName>
    <definedName name="Swim_1">Parameters!$C$9</definedName>
    <definedName name="swim_param">Parameters!$B$4</definedName>
    <definedName name="Swim_sprint">Parameters!$B$9</definedName>
    <definedName name="Trans1" localSheetId="8">'Current speeds'!#REF!</definedName>
    <definedName name="Trans1" localSheetId="7">'Current speeds'!#REF!</definedName>
    <definedName name="Trans1">'Current speeds'!#REF!</definedName>
    <definedName name="Trans2" localSheetId="8">'Current speeds'!#REF!</definedName>
    <definedName name="Trans2" localSheetId="7">'Current speeds'!#REF!</definedName>
    <definedName name="Trans2">'Current speeds'!#REF!</definedName>
  </definedNames>
  <calcPr calcId="145621"/>
</workbook>
</file>

<file path=xl/calcChain.xml><?xml version="1.0" encoding="utf-8"?>
<calcChain xmlns="http://schemas.openxmlformats.org/spreadsheetml/2006/main">
  <c r="H41" i="11" l="1"/>
  <c r="G41" i="11"/>
  <c r="F41" i="11"/>
  <c r="E41" i="11"/>
  <c r="D41" i="11"/>
  <c r="C41" i="11"/>
  <c r="C30" i="11"/>
  <c r="Q7" i="11" l="1"/>
  <c r="P7" i="11"/>
  <c r="O7" i="11"/>
  <c r="N7" i="11"/>
  <c r="I30" i="11"/>
  <c r="I41" i="11"/>
  <c r="C10" i="13" l="1"/>
  <c r="D9" i="13" l="1"/>
  <c r="F14" i="14" l="1"/>
  <c r="C14" i="14"/>
  <c r="F13" i="14"/>
  <c r="C13" i="14"/>
  <c r="C17" i="14" s="1"/>
  <c r="D7" i="14"/>
  <c r="D6" i="14"/>
  <c r="D5" i="14"/>
  <c r="F9" i="13"/>
  <c r="E9" i="13"/>
  <c r="F9" i="4" l="1"/>
  <c r="E9" i="4"/>
  <c r="D9" i="4"/>
  <c r="N9" i="13" s="1"/>
  <c r="D5" i="12" l="1"/>
  <c r="D6" i="12"/>
  <c r="D7" i="12"/>
  <c r="F14" i="12"/>
  <c r="C27" i="9" s="1"/>
  <c r="F13" i="12"/>
  <c r="C26" i="9" s="1"/>
  <c r="C14" i="12"/>
  <c r="B25" i="9" s="1"/>
  <c r="C13" i="12"/>
  <c r="B24" i="9" s="1"/>
  <c r="C17" i="12" l="1"/>
  <c r="C10" i="4"/>
  <c r="A10" i="11" l="1"/>
  <c r="K10" i="11" s="1"/>
  <c r="A12" i="13" s="1"/>
  <c r="B10" i="11"/>
  <c r="L10" i="11" s="1"/>
  <c r="B12" i="13" s="1"/>
  <c r="C10" i="11"/>
  <c r="D10" i="11"/>
  <c r="E10" i="11"/>
  <c r="F10" i="11"/>
  <c r="G10" i="11"/>
  <c r="H10" i="11"/>
  <c r="A11" i="11"/>
  <c r="K11" i="11" s="1"/>
  <c r="A13" i="13" s="1"/>
  <c r="B11" i="11"/>
  <c r="L11" i="11" s="1"/>
  <c r="B13" i="13" s="1"/>
  <c r="C11" i="11"/>
  <c r="D11" i="11"/>
  <c r="N11" i="11" s="1"/>
  <c r="D10" i="3" s="1"/>
  <c r="E11" i="11"/>
  <c r="O11" i="11" s="1"/>
  <c r="F11" i="11"/>
  <c r="P11" i="11" s="1"/>
  <c r="G11" i="11"/>
  <c r="Q11" i="11" s="1"/>
  <c r="H11" i="11"/>
  <c r="R11" i="11" s="1"/>
  <c r="H10" i="3" s="1"/>
  <c r="A12" i="11"/>
  <c r="K12" i="11" s="1"/>
  <c r="A14" i="13" s="1"/>
  <c r="B12" i="11"/>
  <c r="L12" i="11" s="1"/>
  <c r="B14" i="13" s="1"/>
  <c r="C12" i="11"/>
  <c r="D12" i="11"/>
  <c r="N12" i="11" s="1"/>
  <c r="D11" i="3" s="1"/>
  <c r="E12" i="11"/>
  <c r="O12" i="11" s="1"/>
  <c r="F12" i="11"/>
  <c r="P12" i="11" s="1"/>
  <c r="G12" i="11"/>
  <c r="Q12" i="11" s="1"/>
  <c r="H12" i="11"/>
  <c r="R12" i="11" s="1"/>
  <c r="H11" i="3" s="1"/>
  <c r="A13" i="11"/>
  <c r="K13" i="11" s="1"/>
  <c r="A15" i="13" s="1"/>
  <c r="B13" i="11"/>
  <c r="L13" i="11" s="1"/>
  <c r="B15" i="13" s="1"/>
  <c r="C13" i="11"/>
  <c r="D13" i="11"/>
  <c r="N13" i="11" s="1"/>
  <c r="D12" i="3" s="1"/>
  <c r="E13" i="11"/>
  <c r="O13" i="11" s="1"/>
  <c r="F13" i="11"/>
  <c r="P13" i="11" s="1"/>
  <c r="G13" i="11"/>
  <c r="Q13" i="11" s="1"/>
  <c r="H13" i="11"/>
  <c r="R13" i="11" s="1"/>
  <c r="H12" i="3" s="1"/>
  <c r="A14" i="11"/>
  <c r="K14" i="11" s="1"/>
  <c r="A16" i="13" s="1"/>
  <c r="B14" i="11"/>
  <c r="L14" i="11" s="1"/>
  <c r="B16" i="13" s="1"/>
  <c r="C14" i="11"/>
  <c r="D14" i="11"/>
  <c r="N14" i="11" s="1"/>
  <c r="D13" i="3" s="1"/>
  <c r="E14" i="11"/>
  <c r="O14" i="11" s="1"/>
  <c r="F14" i="11"/>
  <c r="P14" i="11" s="1"/>
  <c r="G14" i="11"/>
  <c r="Q14" i="11" s="1"/>
  <c r="H14" i="11"/>
  <c r="R14" i="11" s="1"/>
  <c r="H13" i="3" s="1"/>
  <c r="A15" i="11"/>
  <c r="K15" i="11" s="1"/>
  <c r="A17" i="13" s="1"/>
  <c r="B15" i="11"/>
  <c r="L15" i="11" s="1"/>
  <c r="B17" i="13" s="1"/>
  <c r="C15" i="11"/>
  <c r="D15" i="11"/>
  <c r="N15" i="11" s="1"/>
  <c r="D14" i="3" s="1"/>
  <c r="E15" i="11"/>
  <c r="O15" i="11" s="1"/>
  <c r="F15" i="11"/>
  <c r="P15" i="11" s="1"/>
  <c r="G15" i="11"/>
  <c r="Q15" i="11" s="1"/>
  <c r="H15" i="11"/>
  <c r="R15" i="11" s="1"/>
  <c r="H14" i="3" s="1"/>
  <c r="A16" i="11"/>
  <c r="K16" i="11" s="1"/>
  <c r="A18" i="13" s="1"/>
  <c r="B16" i="11"/>
  <c r="L16" i="11" s="1"/>
  <c r="B18" i="13" s="1"/>
  <c r="C16" i="11"/>
  <c r="D16" i="11"/>
  <c r="N16" i="11" s="1"/>
  <c r="D15" i="3" s="1"/>
  <c r="E16" i="11"/>
  <c r="O16" i="11" s="1"/>
  <c r="F16" i="11"/>
  <c r="P16" i="11" s="1"/>
  <c r="G16" i="11"/>
  <c r="Q16" i="11" s="1"/>
  <c r="H16" i="11"/>
  <c r="R16" i="11" s="1"/>
  <c r="H15" i="3" s="1"/>
  <c r="A17" i="11"/>
  <c r="K17" i="11" s="1"/>
  <c r="A19" i="13" s="1"/>
  <c r="B17" i="11"/>
  <c r="L17" i="11" s="1"/>
  <c r="B19" i="13" s="1"/>
  <c r="C17" i="11"/>
  <c r="D17" i="11"/>
  <c r="N17" i="11" s="1"/>
  <c r="D16" i="3" s="1"/>
  <c r="E17" i="11"/>
  <c r="F17" i="11"/>
  <c r="P17" i="11" s="1"/>
  <c r="G17" i="11"/>
  <c r="Q17" i="11" s="1"/>
  <c r="H17" i="11"/>
  <c r="R17" i="11" s="1"/>
  <c r="H16" i="3" s="1"/>
  <c r="A18" i="11"/>
  <c r="K18" i="11" s="1"/>
  <c r="A20" i="13" s="1"/>
  <c r="B18" i="11"/>
  <c r="L18" i="11" s="1"/>
  <c r="B20" i="13" s="1"/>
  <c r="C18" i="11"/>
  <c r="D18" i="11"/>
  <c r="N18" i="11" s="1"/>
  <c r="D17" i="3" s="1"/>
  <c r="E18" i="11"/>
  <c r="O18" i="11" s="1"/>
  <c r="F18" i="11"/>
  <c r="P18" i="11" s="1"/>
  <c r="G18" i="11"/>
  <c r="Q18" i="11" s="1"/>
  <c r="H18" i="11"/>
  <c r="R18" i="11" s="1"/>
  <c r="H17" i="3" s="1"/>
  <c r="A19" i="11"/>
  <c r="K19" i="11" s="1"/>
  <c r="A21" i="13" s="1"/>
  <c r="B19" i="11"/>
  <c r="L19" i="11" s="1"/>
  <c r="B21" i="13" s="1"/>
  <c r="C19" i="11"/>
  <c r="D19" i="11"/>
  <c r="N19" i="11" s="1"/>
  <c r="D18" i="3" s="1"/>
  <c r="E19" i="11"/>
  <c r="O19" i="11" s="1"/>
  <c r="F19" i="11"/>
  <c r="P19" i="11" s="1"/>
  <c r="G19" i="11"/>
  <c r="Q19" i="11" s="1"/>
  <c r="H19" i="11"/>
  <c r="R19" i="11" s="1"/>
  <c r="H18" i="3" s="1"/>
  <c r="A20" i="11"/>
  <c r="K20" i="11" s="1"/>
  <c r="A22" i="13" s="1"/>
  <c r="B20" i="11"/>
  <c r="L20" i="11" s="1"/>
  <c r="B22" i="13" s="1"/>
  <c r="C20" i="11"/>
  <c r="D20" i="11"/>
  <c r="N20" i="11" s="1"/>
  <c r="D19" i="3" s="1"/>
  <c r="E20" i="11"/>
  <c r="O20" i="11" s="1"/>
  <c r="F20" i="11"/>
  <c r="P20" i="11" s="1"/>
  <c r="G20" i="11"/>
  <c r="Q20" i="11" s="1"/>
  <c r="H20" i="11"/>
  <c r="R20" i="11" s="1"/>
  <c r="H19" i="3" s="1"/>
  <c r="A21" i="11"/>
  <c r="K21" i="11" s="1"/>
  <c r="A23" i="13" s="1"/>
  <c r="B21" i="11"/>
  <c r="L21" i="11" s="1"/>
  <c r="B23" i="13" s="1"/>
  <c r="C21" i="11"/>
  <c r="D21" i="11"/>
  <c r="N21" i="11" s="1"/>
  <c r="D20" i="3" s="1"/>
  <c r="E21" i="11"/>
  <c r="O21" i="11" s="1"/>
  <c r="F21" i="11"/>
  <c r="P21" i="11" s="1"/>
  <c r="G21" i="11"/>
  <c r="Q21" i="11" s="1"/>
  <c r="H21" i="11"/>
  <c r="R21" i="11" s="1"/>
  <c r="H20" i="3" s="1"/>
  <c r="A22" i="11"/>
  <c r="K22" i="11" s="1"/>
  <c r="A24" i="13" s="1"/>
  <c r="B22" i="11"/>
  <c r="L22" i="11" s="1"/>
  <c r="B24" i="13" s="1"/>
  <c r="C22" i="11"/>
  <c r="D22" i="11"/>
  <c r="N22" i="11" s="1"/>
  <c r="D21" i="3" s="1"/>
  <c r="E22" i="11"/>
  <c r="O22" i="11" s="1"/>
  <c r="F22" i="11"/>
  <c r="P22" i="11" s="1"/>
  <c r="G22" i="11"/>
  <c r="Q22" i="11" s="1"/>
  <c r="H22" i="11"/>
  <c r="R22" i="11" s="1"/>
  <c r="H21" i="3" s="1"/>
  <c r="A23" i="11"/>
  <c r="K23" i="11" s="1"/>
  <c r="A25" i="13" s="1"/>
  <c r="B23" i="11"/>
  <c r="L23" i="11" s="1"/>
  <c r="B25" i="13" s="1"/>
  <c r="C23" i="11"/>
  <c r="D23" i="11"/>
  <c r="N23" i="11" s="1"/>
  <c r="D22" i="3" s="1"/>
  <c r="E23" i="11"/>
  <c r="O23" i="11" s="1"/>
  <c r="F23" i="11"/>
  <c r="P23" i="11" s="1"/>
  <c r="G23" i="11"/>
  <c r="Q23" i="11" s="1"/>
  <c r="H23" i="11"/>
  <c r="A24" i="11"/>
  <c r="K24" i="11" s="1"/>
  <c r="A26" i="13" s="1"/>
  <c r="B24" i="11"/>
  <c r="L24" i="11" s="1"/>
  <c r="B26" i="13" s="1"/>
  <c r="C24" i="11"/>
  <c r="D24" i="11"/>
  <c r="N24" i="11" s="1"/>
  <c r="D23" i="3" s="1"/>
  <c r="E24" i="11"/>
  <c r="O24" i="11" s="1"/>
  <c r="F24" i="11"/>
  <c r="P24" i="11" s="1"/>
  <c r="G24" i="11"/>
  <c r="Q24" i="11" s="1"/>
  <c r="H24" i="11"/>
  <c r="R24" i="11" s="1"/>
  <c r="H23" i="3" s="1"/>
  <c r="A25" i="11"/>
  <c r="K25" i="11" s="1"/>
  <c r="A27" i="13" s="1"/>
  <c r="B25" i="11"/>
  <c r="L25" i="11" s="1"/>
  <c r="B27" i="13" s="1"/>
  <c r="C25" i="11"/>
  <c r="D25" i="11"/>
  <c r="N25" i="11" s="1"/>
  <c r="D24" i="3" s="1"/>
  <c r="E25" i="11"/>
  <c r="O25" i="11" s="1"/>
  <c r="F25" i="11"/>
  <c r="P25" i="11" s="1"/>
  <c r="G25" i="11"/>
  <c r="Q25" i="11" s="1"/>
  <c r="H25" i="11"/>
  <c r="R25" i="11" s="1"/>
  <c r="H24" i="3" s="1"/>
  <c r="A26" i="11"/>
  <c r="K26" i="11" s="1"/>
  <c r="A28" i="13" s="1"/>
  <c r="B26" i="11"/>
  <c r="L26" i="11" s="1"/>
  <c r="B28" i="13" s="1"/>
  <c r="C26" i="11"/>
  <c r="D26" i="11"/>
  <c r="N26" i="11" s="1"/>
  <c r="D25" i="3" s="1"/>
  <c r="E26" i="11"/>
  <c r="O26" i="11" s="1"/>
  <c r="F26" i="11"/>
  <c r="P26" i="11" s="1"/>
  <c r="G26" i="11"/>
  <c r="Q26" i="11" s="1"/>
  <c r="H26" i="11"/>
  <c r="R26" i="11" s="1"/>
  <c r="H25" i="3" s="1"/>
  <c r="A27" i="11"/>
  <c r="K27" i="11" s="1"/>
  <c r="A29" i="13" s="1"/>
  <c r="B27" i="11"/>
  <c r="L27" i="11" s="1"/>
  <c r="B29" i="13" s="1"/>
  <c r="C27" i="11"/>
  <c r="D27" i="11"/>
  <c r="N27" i="11" s="1"/>
  <c r="D26" i="3" s="1"/>
  <c r="E27" i="11"/>
  <c r="O27" i="11" s="1"/>
  <c r="F27" i="11"/>
  <c r="P27" i="11" s="1"/>
  <c r="G27" i="11"/>
  <c r="Q27" i="11" s="1"/>
  <c r="H27" i="11"/>
  <c r="R27" i="11" s="1"/>
  <c r="H26" i="3" s="1"/>
  <c r="A28" i="11"/>
  <c r="K28" i="11" s="1"/>
  <c r="A30" i="13" s="1"/>
  <c r="B28" i="11"/>
  <c r="L28" i="11" s="1"/>
  <c r="B30" i="13" s="1"/>
  <c r="C28" i="11"/>
  <c r="D28" i="11"/>
  <c r="N28" i="11" s="1"/>
  <c r="D27" i="3" s="1"/>
  <c r="E28" i="11"/>
  <c r="O28" i="11" s="1"/>
  <c r="F28" i="11"/>
  <c r="P28" i="11" s="1"/>
  <c r="G28" i="11"/>
  <c r="Q28" i="11" s="1"/>
  <c r="H28" i="11"/>
  <c r="R28" i="11" s="1"/>
  <c r="H27" i="3" s="1"/>
  <c r="A29" i="11"/>
  <c r="K29" i="11" s="1"/>
  <c r="A31" i="13" s="1"/>
  <c r="B29" i="11"/>
  <c r="L29" i="11" s="1"/>
  <c r="B31" i="13" s="1"/>
  <c r="C29" i="11"/>
  <c r="D29" i="11"/>
  <c r="N29" i="11" s="1"/>
  <c r="D28" i="3" s="1"/>
  <c r="E29" i="11"/>
  <c r="O29" i="11" s="1"/>
  <c r="F29" i="11"/>
  <c r="P29" i="11" s="1"/>
  <c r="G29" i="11"/>
  <c r="Q29" i="11" s="1"/>
  <c r="H29" i="11"/>
  <c r="R29" i="11" s="1"/>
  <c r="H28" i="3" s="1"/>
  <c r="A31" i="11"/>
  <c r="K30" i="11" s="1"/>
  <c r="A32" i="13" s="1"/>
  <c r="B31" i="11"/>
  <c r="L30" i="11" s="1"/>
  <c r="B32" i="13" s="1"/>
  <c r="C31" i="11"/>
  <c r="D31" i="11"/>
  <c r="N30" i="11" s="1"/>
  <c r="D29" i="3" s="1"/>
  <c r="E31" i="11"/>
  <c r="O30" i="11" s="1"/>
  <c r="F31" i="11"/>
  <c r="P30" i="11" s="1"/>
  <c r="G31" i="11"/>
  <c r="Q30" i="11" s="1"/>
  <c r="H31" i="11"/>
  <c r="R30" i="11" s="1"/>
  <c r="H29" i="3" s="1"/>
  <c r="A32" i="11"/>
  <c r="K31" i="11" s="1"/>
  <c r="A33" i="13" s="1"/>
  <c r="B32" i="11"/>
  <c r="L31" i="11" s="1"/>
  <c r="B33" i="13" s="1"/>
  <c r="C32" i="11"/>
  <c r="D32" i="11"/>
  <c r="N31" i="11" s="1"/>
  <c r="D30" i="3" s="1"/>
  <c r="E32" i="11"/>
  <c r="O31" i="11" s="1"/>
  <c r="F32" i="11"/>
  <c r="P31" i="11" s="1"/>
  <c r="G32" i="11"/>
  <c r="Q31" i="11" s="1"/>
  <c r="H32" i="11"/>
  <c r="R31" i="11" s="1"/>
  <c r="H30" i="3" s="1"/>
  <c r="A33" i="11"/>
  <c r="K32" i="11" s="1"/>
  <c r="A34" i="13" s="1"/>
  <c r="B33" i="11"/>
  <c r="L32" i="11" s="1"/>
  <c r="B34" i="13" s="1"/>
  <c r="C33" i="11"/>
  <c r="D33" i="11"/>
  <c r="N32" i="11" s="1"/>
  <c r="D31" i="3" s="1"/>
  <c r="E33" i="11"/>
  <c r="O32" i="11" s="1"/>
  <c r="F33" i="11"/>
  <c r="P32" i="11" s="1"/>
  <c r="G33" i="11"/>
  <c r="Q32" i="11" s="1"/>
  <c r="H33" i="11"/>
  <c r="R32" i="11" s="1"/>
  <c r="H31" i="3" s="1"/>
  <c r="A34" i="11"/>
  <c r="K33" i="11" s="1"/>
  <c r="A35" i="13" s="1"/>
  <c r="B34" i="11"/>
  <c r="L33" i="11" s="1"/>
  <c r="B35" i="13" s="1"/>
  <c r="C34" i="11"/>
  <c r="D34" i="11"/>
  <c r="N33" i="11" s="1"/>
  <c r="D32" i="3" s="1"/>
  <c r="E34" i="11"/>
  <c r="O33" i="11" s="1"/>
  <c r="F34" i="11"/>
  <c r="P33" i="11" s="1"/>
  <c r="G34" i="11"/>
  <c r="Q33" i="11" s="1"/>
  <c r="H34" i="11"/>
  <c r="R33" i="11" s="1"/>
  <c r="H32" i="3" s="1"/>
  <c r="A35" i="11"/>
  <c r="K34" i="11" s="1"/>
  <c r="A36" i="13" s="1"/>
  <c r="B35" i="11"/>
  <c r="L34" i="11" s="1"/>
  <c r="B36" i="13" s="1"/>
  <c r="C35" i="11"/>
  <c r="D35" i="11"/>
  <c r="N34" i="11" s="1"/>
  <c r="D33" i="3" s="1"/>
  <c r="E35" i="11"/>
  <c r="O34" i="11" s="1"/>
  <c r="F35" i="11"/>
  <c r="P34" i="11" s="1"/>
  <c r="G35" i="11"/>
  <c r="Q34" i="11" s="1"/>
  <c r="H35" i="11"/>
  <c r="R34" i="11" s="1"/>
  <c r="H33" i="3" s="1"/>
  <c r="A36" i="11"/>
  <c r="K35" i="11" s="1"/>
  <c r="A37" i="13" s="1"/>
  <c r="B36" i="11"/>
  <c r="L35" i="11" s="1"/>
  <c r="B37" i="13" s="1"/>
  <c r="C36" i="11"/>
  <c r="D36" i="11"/>
  <c r="N35" i="11" s="1"/>
  <c r="D34" i="3" s="1"/>
  <c r="E36" i="11"/>
  <c r="O35" i="11" s="1"/>
  <c r="F36" i="11"/>
  <c r="P35" i="11" s="1"/>
  <c r="G36" i="11"/>
  <c r="H36" i="11"/>
  <c r="R35" i="11" s="1"/>
  <c r="H34" i="3" s="1"/>
  <c r="A37" i="11"/>
  <c r="K36" i="11" s="1"/>
  <c r="A38" i="13" s="1"/>
  <c r="B37" i="11"/>
  <c r="L36" i="11" s="1"/>
  <c r="B38" i="13" s="1"/>
  <c r="C37" i="11"/>
  <c r="D37" i="11"/>
  <c r="N36" i="11" s="1"/>
  <c r="D35" i="3" s="1"/>
  <c r="E37" i="11"/>
  <c r="O36" i="11" s="1"/>
  <c r="F37" i="11"/>
  <c r="P36" i="11" s="1"/>
  <c r="G37" i="11"/>
  <c r="Q36" i="11" s="1"/>
  <c r="H37" i="11"/>
  <c r="R36" i="11" s="1"/>
  <c r="H35" i="3" s="1"/>
  <c r="A38" i="11"/>
  <c r="K37" i="11" s="1"/>
  <c r="A39" i="13" s="1"/>
  <c r="B38" i="11"/>
  <c r="L37" i="11" s="1"/>
  <c r="B39" i="13" s="1"/>
  <c r="C38" i="11"/>
  <c r="D38" i="11"/>
  <c r="N37" i="11" s="1"/>
  <c r="D36" i="3" s="1"/>
  <c r="E38" i="11"/>
  <c r="O37" i="11" s="1"/>
  <c r="F38" i="11"/>
  <c r="P37" i="11" s="1"/>
  <c r="G38" i="11"/>
  <c r="Q37" i="11" s="1"/>
  <c r="H38" i="11"/>
  <c r="R37" i="11" s="1"/>
  <c r="H36" i="3" s="1"/>
  <c r="A39" i="11"/>
  <c r="K38" i="11" s="1"/>
  <c r="A40" i="13" s="1"/>
  <c r="B39" i="11"/>
  <c r="L38" i="11" s="1"/>
  <c r="B40" i="13" s="1"/>
  <c r="C39" i="11"/>
  <c r="D39" i="11"/>
  <c r="N38" i="11" s="1"/>
  <c r="D37" i="3" s="1"/>
  <c r="E39" i="11"/>
  <c r="O38" i="11" s="1"/>
  <c r="F39" i="11"/>
  <c r="P38" i="11" s="1"/>
  <c r="G39" i="11"/>
  <c r="Q38" i="11" s="1"/>
  <c r="H39" i="11"/>
  <c r="R38" i="11" s="1"/>
  <c r="H37" i="3" s="1"/>
  <c r="A40" i="11"/>
  <c r="K39" i="11" s="1"/>
  <c r="A41" i="13" s="1"/>
  <c r="B40" i="11"/>
  <c r="L39" i="11" s="1"/>
  <c r="B41" i="13" s="1"/>
  <c r="C40" i="11"/>
  <c r="D40" i="11"/>
  <c r="N39" i="11" s="1"/>
  <c r="D38" i="3" s="1"/>
  <c r="E40" i="11"/>
  <c r="O39" i="11" s="1"/>
  <c r="F40" i="11"/>
  <c r="P39" i="11" s="1"/>
  <c r="G40" i="11"/>
  <c r="Q39" i="11" s="1"/>
  <c r="H40" i="11"/>
  <c r="R39" i="11" s="1"/>
  <c r="H38" i="3" s="1"/>
  <c r="B9" i="11"/>
  <c r="L9" i="11" s="1"/>
  <c r="B11" i="13" s="1"/>
  <c r="C9" i="11"/>
  <c r="M9" i="11" s="1"/>
  <c r="D9" i="11"/>
  <c r="N9" i="11" s="1"/>
  <c r="D8" i="3" s="1"/>
  <c r="E9" i="11"/>
  <c r="O9" i="11" s="1"/>
  <c r="F9" i="11"/>
  <c r="P9" i="11" s="1"/>
  <c r="F8" i="3" s="1"/>
  <c r="G9" i="11"/>
  <c r="Q9" i="11" s="1"/>
  <c r="H9" i="11"/>
  <c r="R9" i="11" s="1"/>
  <c r="H8" i="3" s="1"/>
  <c r="A9" i="11"/>
  <c r="K9" i="11" s="1"/>
  <c r="A11" i="13" s="1"/>
  <c r="H6" i="11" l="1"/>
  <c r="H7" i="11" s="1"/>
  <c r="D6" i="11"/>
  <c r="D7" i="11" s="1"/>
  <c r="G6" i="11"/>
  <c r="G7" i="11" s="1"/>
  <c r="C6" i="11"/>
  <c r="C7" i="11" s="1"/>
  <c r="F6" i="11"/>
  <c r="F7" i="11" s="1"/>
  <c r="E6" i="11"/>
  <c r="E7" i="11" s="1"/>
  <c r="C38" i="13"/>
  <c r="C35" i="13"/>
  <c r="C41" i="13"/>
  <c r="C40" i="13"/>
  <c r="C39" i="13"/>
  <c r="C37" i="13"/>
  <c r="C34" i="13"/>
  <c r="C32" i="13"/>
  <c r="C36" i="13"/>
  <c r="C33" i="13"/>
  <c r="C31" i="13"/>
  <c r="C30" i="13"/>
  <c r="C29" i="13"/>
  <c r="C28" i="13"/>
  <c r="C27" i="13"/>
  <c r="C26" i="13"/>
  <c r="C25" i="13"/>
  <c r="C24" i="13"/>
  <c r="C23" i="13"/>
  <c r="C22" i="13"/>
  <c r="C21" i="13"/>
  <c r="C20" i="13"/>
  <c r="C19" i="13"/>
  <c r="C18" i="13"/>
  <c r="C17" i="13"/>
  <c r="C16" i="13"/>
  <c r="C15" i="13"/>
  <c r="C14" i="13"/>
  <c r="C13" i="13"/>
  <c r="C12" i="13"/>
  <c r="A10" i="4"/>
  <c r="A8" i="3"/>
  <c r="B10" i="4"/>
  <c r="B8" i="3"/>
  <c r="F38" i="3"/>
  <c r="K38" i="3" s="1"/>
  <c r="B41" i="4"/>
  <c r="B38" i="3"/>
  <c r="A41" i="4"/>
  <c r="A38" i="3"/>
  <c r="F37" i="3"/>
  <c r="K37" i="3" s="1"/>
  <c r="B40" i="4"/>
  <c r="B37" i="3"/>
  <c r="A40" i="4"/>
  <c r="A37" i="3"/>
  <c r="F36" i="3"/>
  <c r="K36" i="3" s="1"/>
  <c r="B39" i="4"/>
  <c r="B36" i="3"/>
  <c r="A39" i="4"/>
  <c r="A36" i="3"/>
  <c r="F35" i="3"/>
  <c r="K35" i="3" s="1"/>
  <c r="B38" i="4"/>
  <c r="B35" i="3"/>
  <c r="A38" i="4"/>
  <c r="A35" i="3"/>
  <c r="F34" i="3"/>
  <c r="K34" i="3" s="1"/>
  <c r="B37" i="4"/>
  <c r="B34" i="3"/>
  <c r="A37" i="4"/>
  <c r="A34" i="3"/>
  <c r="F33" i="3"/>
  <c r="K33" i="3" s="1"/>
  <c r="B36" i="4"/>
  <c r="B33" i="3"/>
  <c r="A36" i="4"/>
  <c r="A33" i="3"/>
  <c r="F32" i="3"/>
  <c r="K32" i="3" s="1"/>
  <c r="B35" i="4"/>
  <c r="B32" i="3"/>
  <c r="A35" i="4"/>
  <c r="A32" i="3"/>
  <c r="F31" i="3"/>
  <c r="K31" i="3" s="1"/>
  <c r="B34" i="4"/>
  <c r="B31" i="3"/>
  <c r="A34" i="4"/>
  <c r="A31" i="3"/>
  <c r="F30" i="3"/>
  <c r="K30" i="3" s="1"/>
  <c r="B33" i="4"/>
  <c r="B30" i="3"/>
  <c r="A33" i="4"/>
  <c r="A30" i="3"/>
  <c r="F29" i="3"/>
  <c r="K29" i="3" s="1"/>
  <c r="B32" i="4"/>
  <c r="B29" i="3"/>
  <c r="A32" i="4"/>
  <c r="A29" i="3"/>
  <c r="F28" i="3"/>
  <c r="K28" i="3" s="1"/>
  <c r="B31" i="4"/>
  <c r="B28" i="3"/>
  <c r="A31" i="4"/>
  <c r="A28" i="3"/>
  <c r="F27" i="3"/>
  <c r="K27" i="3" s="1"/>
  <c r="B30" i="4"/>
  <c r="B27" i="3"/>
  <c r="A30" i="4"/>
  <c r="A27" i="3"/>
  <c r="F26" i="3"/>
  <c r="K26" i="3" s="1"/>
  <c r="B29" i="4"/>
  <c r="B26" i="3"/>
  <c r="A29" i="4"/>
  <c r="A26" i="3"/>
  <c r="F25" i="3"/>
  <c r="K25" i="3" s="1"/>
  <c r="B28" i="4"/>
  <c r="B25" i="3"/>
  <c r="A28" i="4"/>
  <c r="A25" i="3"/>
  <c r="F24" i="3"/>
  <c r="K24" i="3" s="1"/>
  <c r="B27" i="4"/>
  <c r="B24" i="3"/>
  <c r="A27" i="4"/>
  <c r="A24" i="3"/>
  <c r="F23" i="3"/>
  <c r="K23" i="3" s="1"/>
  <c r="B26" i="4"/>
  <c r="B23" i="3"/>
  <c r="A26" i="4"/>
  <c r="A23" i="3"/>
  <c r="F22" i="3"/>
  <c r="B25" i="4"/>
  <c r="B22" i="3"/>
  <c r="A25" i="4"/>
  <c r="A22" i="3"/>
  <c r="F21" i="3"/>
  <c r="K21" i="3" s="1"/>
  <c r="B24" i="4"/>
  <c r="B21" i="3"/>
  <c r="A24" i="4"/>
  <c r="A21" i="3"/>
  <c r="F20" i="3"/>
  <c r="K20" i="3" s="1"/>
  <c r="B23" i="4"/>
  <c r="B20" i="3"/>
  <c r="A23" i="4"/>
  <c r="A20" i="3"/>
  <c r="F19" i="3"/>
  <c r="K19" i="3" s="1"/>
  <c r="B22" i="4"/>
  <c r="B19" i="3"/>
  <c r="A22" i="4"/>
  <c r="A19" i="3"/>
  <c r="F18" i="3"/>
  <c r="K18" i="3" s="1"/>
  <c r="B21" i="4"/>
  <c r="B18" i="3"/>
  <c r="A21" i="4"/>
  <c r="A18" i="3"/>
  <c r="F17" i="3"/>
  <c r="K17" i="3" s="1"/>
  <c r="B20" i="4"/>
  <c r="B17" i="3"/>
  <c r="A20" i="4"/>
  <c r="A17" i="3"/>
  <c r="F16" i="3"/>
  <c r="K16" i="3" s="1"/>
  <c r="B19" i="4"/>
  <c r="B16" i="3"/>
  <c r="A19" i="4"/>
  <c r="A16" i="3"/>
  <c r="F15" i="3"/>
  <c r="K15" i="3" s="1"/>
  <c r="B18" i="4"/>
  <c r="B15" i="3"/>
  <c r="A18" i="4"/>
  <c r="A15" i="3"/>
  <c r="F14" i="3"/>
  <c r="K14" i="3" s="1"/>
  <c r="B17" i="4"/>
  <c r="B14" i="3"/>
  <c r="A17" i="4"/>
  <c r="A14" i="3"/>
  <c r="F13" i="3"/>
  <c r="K13" i="3" s="1"/>
  <c r="B16" i="4"/>
  <c r="B13" i="3"/>
  <c r="A16" i="4"/>
  <c r="A13" i="3"/>
  <c r="F12" i="3"/>
  <c r="K12" i="3" s="1"/>
  <c r="B15" i="4"/>
  <c r="B12" i="3"/>
  <c r="A15" i="4"/>
  <c r="A12" i="3"/>
  <c r="F11" i="3"/>
  <c r="K11" i="3" s="1"/>
  <c r="B14" i="4"/>
  <c r="B11" i="3"/>
  <c r="A14" i="4"/>
  <c r="A11" i="3"/>
  <c r="F10" i="3"/>
  <c r="K10" i="3" s="1"/>
  <c r="B13" i="4"/>
  <c r="B10" i="3"/>
  <c r="A13" i="4"/>
  <c r="A10" i="3"/>
  <c r="B12" i="4"/>
  <c r="B9" i="3"/>
  <c r="A12" i="4"/>
  <c r="A9" i="3"/>
  <c r="M39" i="11"/>
  <c r="S39" i="11" s="1"/>
  <c r="I40" i="11"/>
  <c r="M38" i="11"/>
  <c r="S38" i="11" s="1"/>
  <c r="I39" i="11"/>
  <c r="M37" i="11"/>
  <c r="S37" i="11" s="1"/>
  <c r="I38" i="11"/>
  <c r="M36" i="11"/>
  <c r="S36" i="11" s="1"/>
  <c r="I37" i="11"/>
  <c r="M35" i="11"/>
  <c r="Q35" i="11" s="1"/>
  <c r="I36" i="11"/>
  <c r="M34" i="11"/>
  <c r="S34" i="11" s="1"/>
  <c r="I35" i="11"/>
  <c r="M33" i="11"/>
  <c r="S33" i="11" s="1"/>
  <c r="I34" i="11"/>
  <c r="M32" i="11"/>
  <c r="S32" i="11" s="1"/>
  <c r="I33" i="11"/>
  <c r="M31" i="11"/>
  <c r="S31" i="11" s="1"/>
  <c r="I32" i="11"/>
  <c r="M30" i="11"/>
  <c r="S30" i="11" s="1"/>
  <c r="I31" i="11"/>
  <c r="M29" i="11"/>
  <c r="S29" i="11" s="1"/>
  <c r="I29" i="11"/>
  <c r="M28" i="11"/>
  <c r="S28" i="11" s="1"/>
  <c r="I28" i="11"/>
  <c r="M27" i="11"/>
  <c r="S27" i="11" s="1"/>
  <c r="I27" i="11"/>
  <c r="M26" i="11"/>
  <c r="S26" i="11" s="1"/>
  <c r="I26" i="11"/>
  <c r="M25" i="11"/>
  <c r="S25" i="11" s="1"/>
  <c r="I25" i="11"/>
  <c r="M24" i="11"/>
  <c r="S24" i="11" s="1"/>
  <c r="I24" i="11"/>
  <c r="I23" i="11"/>
  <c r="M22" i="11"/>
  <c r="S22" i="11" s="1"/>
  <c r="I22" i="11"/>
  <c r="M21" i="11"/>
  <c r="S21" i="11" s="1"/>
  <c r="I21" i="11"/>
  <c r="M20" i="11"/>
  <c r="S20" i="11" s="1"/>
  <c r="I20" i="11"/>
  <c r="M19" i="11"/>
  <c r="S19" i="11" s="1"/>
  <c r="I19" i="11"/>
  <c r="M18" i="11"/>
  <c r="S18" i="11" s="1"/>
  <c r="I18" i="11"/>
  <c r="M17" i="11"/>
  <c r="O17" i="11" s="1"/>
  <c r="I17" i="11"/>
  <c r="M16" i="11"/>
  <c r="S16" i="11" s="1"/>
  <c r="I16" i="11"/>
  <c r="M15" i="11"/>
  <c r="S15" i="11" s="1"/>
  <c r="I15" i="11"/>
  <c r="M14" i="11"/>
  <c r="S14" i="11" s="1"/>
  <c r="I14" i="11"/>
  <c r="M13" i="11"/>
  <c r="S13" i="11" s="1"/>
  <c r="I13" i="11"/>
  <c r="M12" i="11"/>
  <c r="S12" i="11" s="1"/>
  <c r="I12" i="11"/>
  <c r="M11" i="11"/>
  <c r="S11" i="11" s="1"/>
  <c r="I11" i="11"/>
  <c r="I10" i="11"/>
  <c r="R10" i="11"/>
  <c r="H9" i="3" s="1"/>
  <c r="H3" i="11"/>
  <c r="H4" i="11"/>
  <c r="H5" i="11"/>
  <c r="R23" i="11" s="1"/>
  <c r="Q10" i="11"/>
  <c r="G3" i="11"/>
  <c r="G4" i="11"/>
  <c r="G5" i="11"/>
  <c r="P10" i="11"/>
  <c r="F3" i="11"/>
  <c r="F4" i="11"/>
  <c r="F5" i="11"/>
  <c r="O10" i="11"/>
  <c r="E3" i="11"/>
  <c r="E4" i="11"/>
  <c r="E5" i="11"/>
  <c r="N10" i="11"/>
  <c r="D9" i="3" s="1"/>
  <c r="E9" i="3" s="1"/>
  <c r="D3" i="11"/>
  <c r="D4" i="11"/>
  <c r="D5" i="11"/>
  <c r="M10" i="11"/>
  <c r="C5" i="11"/>
  <c r="C4" i="11"/>
  <c r="C3" i="11"/>
  <c r="S10" i="11" l="1"/>
  <c r="D6" i="3"/>
  <c r="D5" i="3"/>
  <c r="F9" i="3"/>
  <c r="K9" i="3" s="1"/>
  <c r="M23" i="11"/>
  <c r="S23" i="11" s="1"/>
  <c r="H22" i="3"/>
  <c r="H5" i="3" s="1"/>
  <c r="S17" i="11"/>
  <c r="S35" i="11"/>
  <c r="M5" i="11"/>
  <c r="N6" i="11"/>
  <c r="N5" i="11"/>
  <c r="N4" i="11"/>
  <c r="N3" i="11"/>
  <c r="O6" i="11"/>
  <c r="O5" i="11"/>
  <c r="O4" i="11"/>
  <c r="O3" i="11"/>
  <c r="P6" i="11"/>
  <c r="P5" i="11"/>
  <c r="P4" i="11"/>
  <c r="P3" i="11"/>
  <c r="Q6" i="11"/>
  <c r="Q5" i="11"/>
  <c r="Q4" i="11"/>
  <c r="Q3" i="11"/>
  <c r="R6" i="11"/>
  <c r="R7" i="11" s="1"/>
  <c r="R5" i="11"/>
  <c r="R4" i="11"/>
  <c r="R3" i="11"/>
  <c r="M3" i="11" l="1"/>
  <c r="H6" i="3"/>
  <c r="M4" i="11"/>
  <c r="M6" i="11"/>
  <c r="M7" i="11" s="1"/>
  <c r="F6" i="3"/>
  <c r="K22" i="3"/>
  <c r="F5" i="3"/>
  <c r="F4" i="3"/>
  <c r="F3" i="3"/>
  <c r="H3" i="3"/>
  <c r="H4" i="3"/>
  <c r="I22" i="3"/>
  <c r="G9" i="3" l="1"/>
  <c r="I9" i="3"/>
  <c r="E10" i="3"/>
  <c r="G10" i="3"/>
  <c r="I10" i="3"/>
  <c r="E11" i="3"/>
  <c r="G11" i="3"/>
  <c r="I11" i="3"/>
  <c r="C12" i="3"/>
  <c r="E12" i="3"/>
  <c r="G12" i="3"/>
  <c r="I12" i="3"/>
  <c r="E13" i="3"/>
  <c r="G13" i="3"/>
  <c r="I13" i="3"/>
  <c r="E14" i="3"/>
  <c r="G14" i="3"/>
  <c r="I14" i="3"/>
  <c r="E15" i="3"/>
  <c r="G15" i="3"/>
  <c r="I15" i="3"/>
  <c r="C16" i="3"/>
  <c r="E16" i="3"/>
  <c r="G16" i="3"/>
  <c r="I16" i="3"/>
  <c r="E17" i="3"/>
  <c r="G17" i="3"/>
  <c r="I17" i="3"/>
  <c r="E18" i="3"/>
  <c r="G18" i="3"/>
  <c r="I18" i="3"/>
  <c r="E19" i="3"/>
  <c r="G19" i="3"/>
  <c r="I19" i="3"/>
  <c r="C20" i="3"/>
  <c r="E20" i="3"/>
  <c r="G20" i="3"/>
  <c r="I20" i="3"/>
  <c r="E21" i="3"/>
  <c r="G21" i="3"/>
  <c r="I21" i="3"/>
  <c r="E22" i="3"/>
  <c r="G22" i="3"/>
  <c r="E23" i="3"/>
  <c r="G23" i="3"/>
  <c r="I23" i="3"/>
  <c r="C24" i="3"/>
  <c r="E24" i="3"/>
  <c r="G24" i="3"/>
  <c r="I24" i="3"/>
  <c r="E25" i="3"/>
  <c r="G25" i="3"/>
  <c r="I25" i="3"/>
  <c r="E26" i="3"/>
  <c r="G26" i="3"/>
  <c r="I26" i="3"/>
  <c r="E27" i="3"/>
  <c r="G27" i="3"/>
  <c r="I27" i="3"/>
  <c r="C28" i="3"/>
  <c r="E28" i="3"/>
  <c r="G28" i="3"/>
  <c r="I28" i="3"/>
  <c r="E29" i="3"/>
  <c r="G29" i="3"/>
  <c r="I29" i="3"/>
  <c r="E30" i="3"/>
  <c r="G30" i="3"/>
  <c r="I30" i="3"/>
  <c r="E31" i="3"/>
  <c r="G31" i="3"/>
  <c r="I31" i="3"/>
  <c r="C32" i="3"/>
  <c r="E32" i="3"/>
  <c r="G32" i="3"/>
  <c r="I32" i="3"/>
  <c r="E33" i="3"/>
  <c r="G33" i="3"/>
  <c r="I33" i="3"/>
  <c r="E34" i="3"/>
  <c r="G34" i="3"/>
  <c r="I34" i="3"/>
  <c r="E35" i="3"/>
  <c r="G35" i="3"/>
  <c r="I35" i="3"/>
  <c r="C36" i="3"/>
  <c r="E36" i="3"/>
  <c r="G36" i="3"/>
  <c r="I36" i="3"/>
  <c r="E37" i="3"/>
  <c r="G37" i="3"/>
  <c r="I37" i="3"/>
  <c r="E38" i="3"/>
  <c r="G38" i="3"/>
  <c r="I38" i="3"/>
  <c r="M33" i="3" l="1"/>
  <c r="M36" i="3"/>
  <c r="M35" i="3"/>
  <c r="M30" i="3"/>
  <c r="M25" i="3"/>
  <c r="M21" i="3"/>
  <c r="M16" i="3"/>
  <c r="M15" i="3"/>
  <c r="M10" i="3"/>
  <c r="M27" i="3"/>
  <c r="M18" i="3"/>
  <c r="M13" i="3"/>
  <c r="M38" i="3"/>
  <c r="M28" i="3"/>
  <c r="M37" i="3"/>
  <c r="M32" i="3"/>
  <c r="M31" i="3"/>
  <c r="M26" i="3"/>
  <c r="M22" i="3"/>
  <c r="M17" i="3"/>
  <c r="M12" i="3"/>
  <c r="M11" i="3"/>
  <c r="M34" i="3"/>
  <c r="M29" i="3"/>
  <c r="M24" i="3"/>
  <c r="M23" i="3"/>
  <c r="M20" i="3"/>
  <c r="M19" i="3"/>
  <c r="M14" i="3"/>
  <c r="M9" i="3"/>
  <c r="E5" i="3"/>
  <c r="E4" i="3"/>
  <c r="E3" i="3"/>
  <c r="I5" i="3"/>
  <c r="I4" i="3"/>
  <c r="I3" i="3"/>
  <c r="G5" i="3"/>
  <c r="G4" i="3"/>
  <c r="G3" i="3"/>
  <c r="E6" i="3"/>
  <c r="I6" i="3"/>
  <c r="G6" i="3"/>
  <c r="C37" i="3"/>
  <c r="C33" i="3"/>
  <c r="C29" i="3"/>
  <c r="C25" i="3"/>
  <c r="C21" i="3"/>
  <c r="C17" i="3"/>
  <c r="C13" i="3"/>
  <c r="C9" i="3"/>
  <c r="C31" i="3"/>
  <c r="C23" i="3"/>
  <c r="C19" i="3"/>
  <c r="C15" i="3"/>
  <c r="C11" i="3"/>
  <c r="C38" i="3"/>
  <c r="C34" i="3"/>
  <c r="C30" i="3"/>
  <c r="C26" i="3"/>
  <c r="C22" i="3"/>
  <c r="C18" i="3"/>
  <c r="C14" i="3"/>
  <c r="C10" i="3"/>
  <c r="C35" i="3"/>
  <c r="C27" i="3"/>
  <c r="C14" i="4"/>
  <c r="C17" i="4"/>
  <c r="C15" i="4"/>
  <c r="C41" i="4"/>
  <c r="C40" i="4"/>
  <c r="C38" i="4"/>
  <c r="C36" i="4"/>
  <c r="C34" i="4"/>
  <c r="C33" i="4"/>
  <c r="C32" i="4"/>
  <c r="C31" i="4"/>
  <c r="C28" i="4"/>
  <c r="C27" i="4"/>
  <c r="C25" i="4"/>
  <c r="C24" i="4"/>
  <c r="C23" i="4"/>
  <c r="C22" i="4"/>
  <c r="C21" i="4"/>
  <c r="C20" i="4"/>
  <c r="C12" i="4"/>
  <c r="C18" i="4"/>
  <c r="C16" i="4"/>
  <c r="C13" i="4"/>
  <c r="C39" i="4"/>
  <c r="C37" i="4"/>
  <c r="C35" i="4"/>
  <c r="C30" i="4"/>
  <c r="C29" i="4"/>
  <c r="C26" i="4"/>
  <c r="C19" i="4"/>
  <c r="D4" i="3"/>
  <c r="D3" i="3"/>
  <c r="F40" i="4" l="1"/>
  <c r="D36" i="4"/>
  <c r="D30" i="4"/>
  <c r="G30" i="4" s="1"/>
  <c r="F30" i="4"/>
  <c r="I30" i="4" s="1"/>
  <c r="E30" i="4"/>
  <c r="F13" i="4"/>
  <c r="I13" i="4" s="1"/>
  <c r="E13" i="4"/>
  <c r="D13" i="4"/>
  <c r="G13" i="4" s="1"/>
  <c r="F20" i="4"/>
  <c r="I20" i="4" s="1"/>
  <c r="E20" i="4"/>
  <c r="D20" i="4"/>
  <c r="G20" i="4" s="1"/>
  <c r="D22" i="4"/>
  <c r="G22" i="4" s="1"/>
  <c r="E22" i="4"/>
  <c r="F22" i="4"/>
  <c r="I22" i="4" s="1"/>
  <c r="E24" i="4"/>
  <c r="D24" i="4"/>
  <c r="G24" i="4" s="1"/>
  <c r="D27" i="4"/>
  <c r="G27" i="4" s="1"/>
  <c r="E27" i="4"/>
  <c r="F27" i="4"/>
  <c r="I27" i="4" s="1"/>
  <c r="F31" i="4"/>
  <c r="I31" i="4" s="1"/>
  <c r="D31" i="4"/>
  <c r="G31" i="4" s="1"/>
  <c r="E31" i="4"/>
  <c r="E33" i="4"/>
  <c r="F33" i="4"/>
  <c r="I33" i="4" s="1"/>
  <c r="D33" i="4"/>
  <c r="G33" i="4" s="1"/>
  <c r="F15" i="4"/>
  <c r="E15" i="4"/>
  <c r="H15" i="4" s="1"/>
  <c r="F14" i="4"/>
  <c r="I14" i="4" s="1"/>
  <c r="E14" i="4"/>
  <c r="D12" i="13"/>
  <c r="G12" i="13" s="1"/>
  <c r="F25" i="13"/>
  <c r="I25" i="13" s="1"/>
  <c r="D41" i="13"/>
  <c r="G41" i="13" s="1"/>
  <c r="E37" i="13"/>
  <c r="H37" i="13" s="1"/>
  <c r="E32" i="13"/>
  <c r="H32" i="13" s="1"/>
  <c r="D30" i="13"/>
  <c r="G30" i="13" s="1"/>
  <c r="E26" i="13"/>
  <c r="H26" i="13" s="1"/>
  <c r="E23" i="13"/>
  <c r="H23" i="13" s="1"/>
  <c r="D21" i="13"/>
  <c r="G21" i="13" s="1"/>
  <c r="F18" i="13"/>
  <c r="I18" i="13" s="1"/>
  <c r="E17" i="13"/>
  <c r="H17" i="13" s="1"/>
  <c r="D16" i="13"/>
  <c r="G16" i="13" s="1"/>
  <c r="F13" i="13"/>
  <c r="I13" i="13" s="1"/>
  <c r="E12" i="13"/>
  <c r="E39" i="13"/>
  <c r="H39" i="13" s="1"/>
  <c r="E38" i="13"/>
  <c r="H38" i="13" s="1"/>
  <c r="D37" i="13"/>
  <c r="G37" i="13" s="1"/>
  <c r="F35" i="13"/>
  <c r="I35" i="13" s="1"/>
  <c r="F34" i="13"/>
  <c r="I34" i="13" s="1"/>
  <c r="E33" i="13"/>
  <c r="H33" i="13" s="1"/>
  <c r="D32" i="13"/>
  <c r="G32" i="13" s="1"/>
  <c r="F29" i="13"/>
  <c r="I29" i="13" s="1"/>
  <c r="E28" i="13"/>
  <c r="H28" i="13" s="1"/>
  <c r="D27" i="13"/>
  <c r="G27" i="13" s="1"/>
  <c r="D26" i="13"/>
  <c r="G26" i="13" s="1"/>
  <c r="E24" i="13"/>
  <c r="H24" i="13" s="1"/>
  <c r="D23" i="13"/>
  <c r="G23" i="13" s="1"/>
  <c r="D22" i="13"/>
  <c r="G22" i="13" s="1"/>
  <c r="F20" i="13"/>
  <c r="I20" i="13" s="1"/>
  <c r="E19" i="13"/>
  <c r="H19" i="13" s="1"/>
  <c r="E18" i="13"/>
  <c r="H18" i="13" s="1"/>
  <c r="D17" i="13"/>
  <c r="G17" i="13" s="1"/>
  <c r="F15" i="13"/>
  <c r="I15" i="13" s="1"/>
  <c r="E13" i="13"/>
  <c r="H13" i="13" s="1"/>
  <c r="F38" i="13"/>
  <c r="I38" i="13" s="1"/>
  <c r="F40" i="13"/>
  <c r="I40" i="13" s="1"/>
  <c r="F14" i="13"/>
  <c r="I14" i="13" s="1"/>
  <c r="F24" i="13"/>
  <c r="I24" i="13" s="1"/>
  <c r="E40" i="13"/>
  <c r="H40" i="13" s="1"/>
  <c r="F36" i="13"/>
  <c r="I36" i="13" s="1"/>
  <c r="D40" i="13"/>
  <c r="G40" i="13" s="1"/>
  <c r="E36" i="13"/>
  <c r="H36" i="13" s="1"/>
  <c r="F12" i="13"/>
  <c r="I12" i="13" s="1"/>
  <c r="D14" i="4"/>
  <c r="G14" i="4" s="1"/>
  <c r="D15" i="4"/>
  <c r="G15" i="4" s="1"/>
  <c r="E16" i="13"/>
  <c r="H16" i="13" s="1"/>
  <c r="D20" i="13"/>
  <c r="G20" i="13" s="1"/>
  <c r="F22" i="13"/>
  <c r="I22" i="13" s="1"/>
  <c r="D25" i="13"/>
  <c r="G25" i="13" s="1"/>
  <c r="F27" i="13"/>
  <c r="I27" i="13" s="1"/>
  <c r="E30" i="13"/>
  <c r="H30" i="13" s="1"/>
  <c r="F32" i="13"/>
  <c r="I32" i="13" s="1"/>
  <c r="D35" i="13"/>
  <c r="G35" i="13" s="1"/>
  <c r="F37" i="13"/>
  <c r="I37" i="13" s="1"/>
  <c r="E41" i="13"/>
  <c r="H41" i="13" s="1"/>
  <c r="F41" i="13"/>
  <c r="I41" i="13" s="1"/>
  <c r="E27" i="13"/>
  <c r="H27" i="13" s="1"/>
  <c r="D36" i="13"/>
  <c r="G36" i="13" s="1"/>
  <c r="D13" i="13"/>
  <c r="G13" i="13" s="1"/>
  <c r="E15" i="13"/>
  <c r="H15" i="13" s="1"/>
  <c r="D18" i="13"/>
  <c r="G18" i="13" s="1"/>
  <c r="E20" i="13"/>
  <c r="H20" i="13" s="1"/>
  <c r="D24" i="13"/>
  <c r="G24" i="13" s="1"/>
  <c r="D28" i="13"/>
  <c r="G28" i="13" s="1"/>
  <c r="F30" i="13"/>
  <c r="I30" i="13" s="1"/>
  <c r="D33" i="13"/>
  <c r="G33" i="13" s="1"/>
  <c r="E35" i="13"/>
  <c r="H35" i="13" s="1"/>
  <c r="D38" i="13"/>
  <c r="G38" i="13" s="1"/>
  <c r="F19" i="13"/>
  <c r="I19" i="13" s="1"/>
  <c r="F28" i="13"/>
  <c r="I28" i="13" s="1"/>
  <c r="E26" i="4"/>
  <c r="D26" i="4"/>
  <c r="G26" i="4" s="1"/>
  <c r="F26" i="4"/>
  <c r="E37" i="4"/>
  <c r="D37" i="4"/>
  <c r="G37" i="4" s="1"/>
  <c r="F37" i="4"/>
  <c r="I37" i="4" s="1"/>
  <c r="F18" i="4"/>
  <c r="I18" i="4" s="1"/>
  <c r="E18" i="4"/>
  <c r="D18" i="4"/>
  <c r="G18" i="4" s="1"/>
  <c r="E19" i="4"/>
  <c r="F19" i="4"/>
  <c r="I19" i="4" s="1"/>
  <c r="D19" i="4"/>
  <c r="G19" i="4" s="1"/>
  <c r="F29" i="4"/>
  <c r="I29" i="4" s="1"/>
  <c r="E29" i="4"/>
  <c r="D29" i="4"/>
  <c r="G29" i="4" s="1"/>
  <c r="F35" i="4"/>
  <c r="I35" i="4" s="1"/>
  <c r="E35" i="4"/>
  <c r="H35" i="4" s="1"/>
  <c r="D35" i="4"/>
  <c r="G35" i="4" s="1"/>
  <c r="E39" i="4"/>
  <c r="F39" i="4"/>
  <c r="I39" i="4" s="1"/>
  <c r="D39" i="4"/>
  <c r="G39" i="4" s="1"/>
  <c r="D16" i="4"/>
  <c r="G16" i="4" s="1"/>
  <c r="F16" i="4"/>
  <c r="I16" i="4" s="1"/>
  <c r="E16" i="4"/>
  <c r="D12" i="4"/>
  <c r="E12" i="4"/>
  <c r="D21" i="4"/>
  <c r="G21" i="4" s="1"/>
  <c r="F21" i="4"/>
  <c r="I21" i="4" s="1"/>
  <c r="E21" i="4"/>
  <c r="H21" i="4" s="1"/>
  <c r="E23" i="4"/>
  <c r="D23" i="4"/>
  <c r="G23" i="4" s="1"/>
  <c r="F23" i="4"/>
  <c r="I23" i="4" s="1"/>
  <c r="F25" i="4"/>
  <c r="I25" i="4" s="1"/>
  <c r="E25" i="4"/>
  <c r="H25" i="4" s="1"/>
  <c r="D25" i="4"/>
  <c r="G25" i="4" s="1"/>
  <c r="E28" i="4"/>
  <c r="F28" i="4"/>
  <c r="I28" i="4" s="1"/>
  <c r="D28" i="4"/>
  <c r="G28" i="4" s="1"/>
  <c r="E32" i="4"/>
  <c r="D32" i="4"/>
  <c r="G32" i="4" s="1"/>
  <c r="F32" i="4"/>
  <c r="I32" i="4" s="1"/>
  <c r="F34" i="4"/>
  <c r="I34" i="4" s="1"/>
  <c r="E34" i="4"/>
  <c r="H34" i="4" s="1"/>
  <c r="D34" i="4"/>
  <c r="G34" i="4" s="1"/>
  <c r="E38" i="4"/>
  <c r="F38" i="4"/>
  <c r="I38" i="4" s="1"/>
  <c r="D38" i="4"/>
  <c r="G38" i="4" s="1"/>
  <c r="D41" i="4"/>
  <c r="F41" i="4"/>
  <c r="I41" i="4" s="1"/>
  <c r="E41" i="4"/>
  <c r="E17" i="4"/>
  <c r="H17" i="4" s="1"/>
  <c r="D17" i="4"/>
  <c r="G17" i="4" s="1"/>
  <c r="F17" i="4"/>
  <c r="I17" i="4" s="1"/>
  <c r="F12" i="4"/>
  <c r="D14" i="13"/>
  <c r="G14" i="13" s="1"/>
  <c r="D15" i="13"/>
  <c r="G15" i="13" s="1"/>
  <c r="F17" i="13"/>
  <c r="I17" i="13" s="1"/>
  <c r="E21" i="13"/>
  <c r="H21" i="13" s="1"/>
  <c r="F23" i="13"/>
  <c r="I23" i="13" s="1"/>
  <c r="F26" i="13"/>
  <c r="I26" i="13" s="1"/>
  <c r="D29" i="13"/>
  <c r="G29" i="13" s="1"/>
  <c r="E31" i="13"/>
  <c r="H31" i="13" s="1"/>
  <c r="D34" i="13"/>
  <c r="G34" i="13" s="1"/>
  <c r="E36" i="4"/>
  <c r="D40" i="4"/>
  <c r="G40" i="4" s="1"/>
  <c r="D39" i="13"/>
  <c r="G39" i="13" s="1"/>
  <c r="E22" i="13"/>
  <c r="H22" i="13" s="1"/>
  <c r="D31" i="13"/>
  <c r="G31" i="13" s="1"/>
  <c r="F39" i="13"/>
  <c r="I39" i="13" s="1"/>
  <c r="E14" i="13"/>
  <c r="H14" i="13" s="1"/>
  <c r="F16" i="13"/>
  <c r="I16" i="13" s="1"/>
  <c r="D19" i="13"/>
  <c r="G19" i="13" s="1"/>
  <c r="F21" i="13"/>
  <c r="I21" i="13" s="1"/>
  <c r="E25" i="13"/>
  <c r="H25" i="13" s="1"/>
  <c r="E29" i="13"/>
  <c r="H29" i="13" s="1"/>
  <c r="F31" i="13"/>
  <c r="I31" i="13" s="1"/>
  <c r="E34" i="13"/>
  <c r="H34" i="13" s="1"/>
  <c r="F36" i="4"/>
  <c r="I36" i="4" s="1"/>
  <c r="E40" i="4"/>
  <c r="H40" i="4" s="1"/>
  <c r="F24" i="4"/>
  <c r="I24" i="4" s="1"/>
  <c r="F33" i="13"/>
  <c r="I33" i="13" s="1"/>
  <c r="H12" i="13"/>
  <c r="I26" i="4"/>
  <c r="G41" i="4"/>
  <c r="G36" i="4"/>
  <c r="I15" i="4"/>
  <c r="I40" i="4"/>
  <c r="J15" i="13" l="1"/>
  <c r="J30" i="13"/>
  <c r="J20" i="13"/>
  <c r="J32" i="13"/>
  <c r="P17" i="4"/>
  <c r="O17" i="4" s="1"/>
  <c r="P25" i="4"/>
  <c r="O25" i="4" s="1"/>
  <c r="P21" i="4"/>
  <c r="O21" i="4" s="1"/>
  <c r="P34" i="4"/>
  <c r="O34" i="4" s="1"/>
  <c r="P40" i="4"/>
  <c r="O40" i="4" s="1"/>
  <c r="P15" i="4"/>
  <c r="O15" i="4" s="1"/>
  <c r="P19" i="13"/>
  <c r="O19" i="13" s="1"/>
  <c r="P31" i="13"/>
  <c r="O31" i="13" s="1"/>
  <c r="J39" i="13"/>
  <c r="M39" i="13" s="1"/>
  <c r="P39" i="13"/>
  <c r="O39" i="13" s="1"/>
  <c r="P34" i="13"/>
  <c r="O34" i="13" s="1"/>
  <c r="P29" i="13"/>
  <c r="O29" i="13" s="1"/>
  <c r="P15" i="13"/>
  <c r="O15" i="13" s="1"/>
  <c r="P14" i="13"/>
  <c r="O14" i="13" s="1"/>
  <c r="P35" i="4"/>
  <c r="O35" i="4" s="1"/>
  <c r="P38" i="13"/>
  <c r="O38" i="13" s="1"/>
  <c r="P33" i="13"/>
  <c r="O33" i="13" s="1"/>
  <c r="J28" i="13"/>
  <c r="M28" i="13" s="1"/>
  <c r="P28" i="13"/>
  <c r="O28" i="13" s="1"/>
  <c r="P24" i="13"/>
  <c r="O24" i="13" s="1"/>
  <c r="P18" i="13"/>
  <c r="O18" i="13" s="1"/>
  <c r="P13" i="13"/>
  <c r="O13" i="13" s="1"/>
  <c r="P36" i="13"/>
  <c r="O36" i="13" s="1"/>
  <c r="P35" i="13"/>
  <c r="O35" i="13" s="1"/>
  <c r="P25" i="13"/>
  <c r="O25" i="13" s="1"/>
  <c r="P20" i="13"/>
  <c r="O20" i="13" s="1"/>
  <c r="P40" i="13"/>
  <c r="O40" i="13" s="1"/>
  <c r="J36" i="13"/>
  <c r="M36" i="13" s="1"/>
  <c r="J40" i="13"/>
  <c r="M40" i="13" s="1"/>
  <c r="P17" i="13"/>
  <c r="O17" i="13" s="1"/>
  <c r="P22" i="13"/>
  <c r="O22" i="13" s="1"/>
  <c r="P23" i="13"/>
  <c r="O23" i="13" s="1"/>
  <c r="P26" i="13"/>
  <c r="O26" i="13" s="1"/>
  <c r="P27" i="13"/>
  <c r="O27" i="13" s="1"/>
  <c r="P32" i="13"/>
  <c r="O32" i="13" s="1"/>
  <c r="P37" i="13"/>
  <c r="O37" i="13" s="1"/>
  <c r="P16" i="13"/>
  <c r="O16" i="13" s="1"/>
  <c r="P21" i="13"/>
  <c r="O21" i="13" s="1"/>
  <c r="P30" i="13"/>
  <c r="O30" i="13" s="1"/>
  <c r="P41" i="13"/>
  <c r="O41" i="13" s="1"/>
  <c r="P12" i="13"/>
  <c r="O12" i="13" s="1"/>
  <c r="J38" i="13"/>
  <c r="M38" i="13" s="1"/>
  <c r="J31" i="13"/>
  <c r="M31" i="13" s="1"/>
  <c r="J33" i="13"/>
  <c r="M33" i="13" s="1"/>
  <c r="J17" i="13"/>
  <c r="M17" i="13" s="1"/>
  <c r="J22" i="13"/>
  <c r="M22" i="13" s="1"/>
  <c r="J27" i="13"/>
  <c r="M27" i="13" s="1"/>
  <c r="E4" i="13"/>
  <c r="J16" i="13"/>
  <c r="M16" i="13" s="1"/>
  <c r="F5" i="13"/>
  <c r="J19" i="13"/>
  <c r="M19" i="13" s="1"/>
  <c r="J18" i="13"/>
  <c r="M18" i="13" s="1"/>
  <c r="F4" i="13"/>
  <c r="F6" i="13"/>
  <c r="I7" i="13" s="1"/>
  <c r="E5" i="13"/>
  <c r="E6" i="13"/>
  <c r="H7" i="13" s="1"/>
  <c r="J34" i="13"/>
  <c r="M34" i="13" s="1"/>
  <c r="J29" i="13"/>
  <c r="M29" i="13" s="1"/>
  <c r="J14" i="13"/>
  <c r="M14" i="13" s="1"/>
  <c r="J35" i="13"/>
  <c r="M35" i="13" s="1"/>
  <c r="J25" i="13"/>
  <c r="M25" i="13" s="1"/>
  <c r="J23" i="13"/>
  <c r="M23" i="13" s="1"/>
  <c r="J26" i="13"/>
  <c r="M26" i="13" s="1"/>
  <c r="J37" i="13"/>
  <c r="M37" i="13" s="1"/>
  <c r="J21" i="13"/>
  <c r="M21" i="13" s="1"/>
  <c r="J41" i="13"/>
  <c r="M41" i="13" s="1"/>
  <c r="D6" i="13"/>
  <c r="G7" i="13" s="1"/>
  <c r="J24" i="13"/>
  <c r="M24" i="13" s="1"/>
  <c r="D4" i="13"/>
  <c r="D5" i="13"/>
  <c r="M20" i="13"/>
  <c r="M32" i="13"/>
  <c r="M30" i="13"/>
  <c r="J13" i="13"/>
  <c r="G5" i="13"/>
  <c r="G4" i="13"/>
  <c r="G6" i="13"/>
  <c r="I6" i="13"/>
  <c r="I4" i="13"/>
  <c r="I5" i="13"/>
  <c r="H6" i="13"/>
  <c r="H4" i="13"/>
  <c r="H5" i="13"/>
  <c r="J12" i="13"/>
  <c r="M15" i="13"/>
  <c r="J35" i="4"/>
  <c r="M35" i="4" s="1"/>
  <c r="J17" i="4"/>
  <c r="J25" i="4"/>
  <c r="J21" i="4"/>
  <c r="J34" i="4"/>
  <c r="J40" i="4"/>
  <c r="J15" i="4"/>
  <c r="H12" i="4"/>
  <c r="E4" i="4"/>
  <c r="E5" i="4"/>
  <c r="E6" i="4"/>
  <c r="H7" i="4" s="1"/>
  <c r="G12" i="4"/>
  <c r="D5" i="4"/>
  <c r="D4" i="4"/>
  <c r="I12" i="4"/>
  <c r="F4" i="4"/>
  <c r="F5" i="4"/>
  <c r="F6" i="4"/>
  <c r="I7" i="4" s="1"/>
  <c r="D6" i="4"/>
  <c r="G7" i="4" s="1"/>
  <c r="H22" i="4"/>
  <c r="J22" i="4" s="1"/>
  <c r="H31" i="4"/>
  <c r="J31" i="4" s="1"/>
  <c r="H38" i="4"/>
  <c r="J38" i="4" s="1"/>
  <c r="H32" i="4"/>
  <c r="J32" i="4" s="1"/>
  <c r="H37" i="4"/>
  <c r="J37" i="4" s="1"/>
  <c r="H30" i="4"/>
  <c r="J30" i="4" s="1"/>
  <c r="H13" i="4"/>
  <c r="J13" i="4" s="1"/>
  <c r="H26" i="4"/>
  <c r="J26" i="4" s="1"/>
  <c r="H14" i="4"/>
  <c r="J14" i="4" s="1"/>
  <c r="H33" i="4"/>
  <c r="J33" i="4" s="1"/>
  <c r="H19" i="4"/>
  <c r="J19" i="4" s="1"/>
  <c r="H23" i="4"/>
  <c r="J23" i="4" s="1"/>
  <c r="H20" i="4"/>
  <c r="J20" i="4" s="1"/>
  <c r="H29" i="4"/>
  <c r="J29" i="4" s="1"/>
  <c r="H18" i="4"/>
  <c r="J18" i="4" s="1"/>
  <c r="H27" i="4"/>
  <c r="J27" i="4" s="1"/>
  <c r="H36" i="4"/>
  <c r="J36" i="4" s="1"/>
  <c r="H28" i="4"/>
  <c r="J28" i="4" s="1"/>
  <c r="H39" i="4"/>
  <c r="J39" i="4" s="1"/>
  <c r="H41" i="4"/>
  <c r="J41" i="4" s="1"/>
  <c r="H24" i="4"/>
  <c r="J24" i="4" s="1"/>
  <c r="H16" i="4"/>
  <c r="J16" i="4" s="1"/>
  <c r="J7" i="13" l="1"/>
  <c r="M7" i="13"/>
  <c r="M3" i="13"/>
  <c r="M6" i="13"/>
  <c r="M5" i="13"/>
  <c r="M4" i="13"/>
  <c r="P41" i="4"/>
  <c r="O41" i="4" s="1"/>
  <c r="P12" i="4"/>
  <c r="O12" i="4" s="1"/>
  <c r="K9" i="13"/>
  <c r="P31" i="4"/>
  <c r="O31" i="4" s="1"/>
  <c r="P33" i="4"/>
  <c r="O33" i="4" s="1"/>
  <c r="P26" i="4"/>
  <c r="O26" i="4" s="1"/>
  <c r="P16" i="4"/>
  <c r="O16" i="4" s="1"/>
  <c r="P28" i="4"/>
  <c r="O28" i="4" s="1"/>
  <c r="P18" i="4"/>
  <c r="O18" i="4" s="1"/>
  <c r="P27" i="4"/>
  <c r="O27" i="4" s="1"/>
  <c r="P14" i="4"/>
  <c r="O14" i="4" s="1"/>
  <c r="P30" i="4"/>
  <c r="O30" i="4" s="1"/>
  <c r="P13" i="4"/>
  <c r="O13" i="4" s="1"/>
  <c r="P20" i="4"/>
  <c r="O20" i="4" s="1"/>
  <c r="P24" i="4"/>
  <c r="O24" i="4" s="1"/>
  <c r="P36" i="4"/>
  <c r="O36" i="4" s="1"/>
  <c r="P37" i="4"/>
  <c r="O37" i="4" s="1"/>
  <c r="P22" i="4"/>
  <c r="O22" i="4" s="1"/>
  <c r="P29" i="4"/>
  <c r="O29" i="4" s="1"/>
  <c r="P39" i="4"/>
  <c r="O39" i="4" s="1"/>
  <c r="P23" i="4"/>
  <c r="O23" i="4" s="1"/>
  <c r="P19" i="4"/>
  <c r="O19" i="4" s="1"/>
  <c r="P32" i="4"/>
  <c r="O32" i="4" s="1"/>
  <c r="P38" i="4"/>
  <c r="O38" i="4" s="1"/>
  <c r="M12" i="13"/>
  <c r="J6" i="13"/>
  <c r="K12" i="13"/>
  <c r="J5" i="13"/>
  <c r="J4" i="13"/>
  <c r="K21" i="13"/>
  <c r="K33" i="13"/>
  <c r="K24" i="13"/>
  <c r="K20" i="13"/>
  <c r="K23" i="13"/>
  <c r="K38" i="13"/>
  <c r="K26" i="13"/>
  <c r="K39" i="13"/>
  <c r="K32" i="13"/>
  <c r="K41" i="13"/>
  <c r="K37" i="13"/>
  <c r="K27" i="13"/>
  <c r="K16" i="13"/>
  <c r="K29" i="13"/>
  <c r="K25" i="13"/>
  <c r="K13" i="13"/>
  <c r="M13" i="13"/>
  <c r="K34" i="13"/>
  <c r="K17" i="13"/>
  <c r="K36" i="13"/>
  <c r="K40" i="13"/>
  <c r="K28" i="13"/>
  <c r="K19" i="13"/>
  <c r="K14" i="13"/>
  <c r="K15" i="13"/>
  <c r="K31" i="13"/>
  <c r="P4" i="13"/>
  <c r="P5" i="13"/>
  <c r="K35" i="13"/>
  <c r="K18" i="13"/>
  <c r="K22" i="13"/>
  <c r="K30" i="13"/>
  <c r="J7" i="4"/>
  <c r="J12" i="4"/>
  <c r="K21" i="4" s="1"/>
  <c r="M16" i="4"/>
  <c r="M24" i="4"/>
  <c r="M39" i="4"/>
  <c r="M28" i="4"/>
  <c r="M36" i="4"/>
  <c r="M27" i="4"/>
  <c r="M18" i="4"/>
  <c r="M29" i="4"/>
  <c r="M20" i="4"/>
  <c r="M19" i="4"/>
  <c r="M33" i="4"/>
  <c r="M14" i="4"/>
  <c r="M26" i="4"/>
  <c r="M13" i="4"/>
  <c r="M30" i="4"/>
  <c r="M37" i="4"/>
  <c r="M32" i="4"/>
  <c r="M38" i="4"/>
  <c r="M31" i="4"/>
  <c r="M22" i="4"/>
  <c r="M15" i="4"/>
  <c r="M40" i="4"/>
  <c r="M34" i="4"/>
  <c r="K34" i="4"/>
  <c r="M21" i="4"/>
  <c r="M25" i="4"/>
  <c r="M17" i="4"/>
  <c r="I4" i="4"/>
  <c r="I6" i="4"/>
  <c r="I5" i="4"/>
  <c r="G4" i="4"/>
  <c r="G6" i="4"/>
  <c r="G5" i="4"/>
  <c r="H4" i="4"/>
  <c r="H6" i="4"/>
  <c r="H5" i="4"/>
  <c r="K25" i="4" l="1"/>
  <c r="K17" i="4"/>
  <c r="M5" i="4"/>
  <c r="B6" i="9" s="1"/>
  <c r="M4" i="4"/>
  <c r="B5" i="9" s="1"/>
  <c r="M7" i="4"/>
  <c r="M3" i="4"/>
  <c r="M6" i="4"/>
  <c r="B7" i="9" s="1"/>
  <c r="C7" i="14"/>
  <c r="E7" i="14" s="1"/>
  <c r="C6" i="14"/>
  <c r="E6" i="14" s="1"/>
  <c r="C5" i="14"/>
  <c r="E5" i="14" s="1"/>
  <c r="P4" i="4"/>
  <c r="P5" i="4"/>
  <c r="M23" i="4"/>
  <c r="K23" i="4"/>
  <c r="K40" i="4"/>
  <c r="K15" i="4"/>
  <c r="M41" i="4"/>
  <c r="K41" i="4"/>
  <c r="M12" i="4"/>
  <c r="K12" i="4"/>
  <c r="K35" i="4"/>
  <c r="K22" i="4"/>
  <c r="K31" i="4"/>
  <c r="K38" i="4"/>
  <c r="K32" i="4"/>
  <c r="K37" i="4"/>
  <c r="K30" i="4"/>
  <c r="K13" i="4"/>
  <c r="K26" i="4"/>
  <c r="K14" i="4"/>
  <c r="K33" i="4"/>
  <c r="K19" i="4"/>
  <c r="K20" i="4"/>
  <c r="K29" i="4"/>
  <c r="K18" i="4"/>
  <c r="K27" i="4"/>
  <c r="K36" i="4"/>
  <c r="K28" i="4"/>
  <c r="K39" i="4"/>
  <c r="K24" i="4"/>
  <c r="K16" i="4"/>
  <c r="J4" i="4"/>
  <c r="J5" i="4"/>
  <c r="J6" i="4"/>
  <c r="B8" i="9"/>
  <c r="B4" i="9" l="1"/>
  <c r="B12" i="9" s="1"/>
  <c r="C7" i="12"/>
  <c r="E7" i="12" s="1"/>
  <c r="C5" i="12"/>
  <c r="C6" i="12"/>
  <c r="E6" i="12" s="1"/>
  <c r="B16" i="9"/>
  <c r="B9" i="9"/>
  <c r="B15" i="9"/>
  <c r="B14" i="9"/>
  <c r="B13" i="9" l="1"/>
  <c r="E5" i="12"/>
  <c r="E9" i="12" s="1"/>
  <c r="F15" i="12" s="1"/>
  <c r="E9" i="14"/>
  <c r="F15" i="14" s="1"/>
  <c r="F17" i="14" s="1"/>
  <c r="C19" i="14" s="1"/>
  <c r="H1" i="13" l="1"/>
  <c r="C28" i="9"/>
  <c r="F17" i="12"/>
  <c r="C19" i="12" s="1"/>
  <c r="D29" i="9" s="1"/>
  <c r="I2" i="13" l="1"/>
</calcChain>
</file>

<file path=xl/comments1.xml><?xml version="1.0" encoding="utf-8"?>
<comments xmlns="http://schemas.openxmlformats.org/spreadsheetml/2006/main">
  <authors>
    <author>Ian Shires</author>
  </authors>
  <commentList>
    <comment ref="P4" authorId="0">
      <text>
        <r>
          <rPr>
            <b/>
            <sz val="9"/>
            <color indexed="81"/>
            <rFont val="Tahoma"/>
            <family val="2"/>
          </rPr>
          <t>Reasonableness check:</t>
        </r>
        <r>
          <rPr>
            <sz val="9"/>
            <color indexed="81"/>
            <rFont val="Tahoma"/>
            <family val="2"/>
          </rPr>
          <t xml:space="preserve">
We would expect the swim to be the longest leg for the majority of competitors in the Minister's triathlon</t>
        </r>
      </text>
    </comment>
  </commentList>
</comments>
</file>

<file path=xl/comments2.xml><?xml version="1.0" encoding="utf-8"?>
<comments xmlns="http://schemas.openxmlformats.org/spreadsheetml/2006/main">
  <authors>
    <author>Ian Shires</author>
  </authors>
  <commentList>
    <comment ref="D1" authorId="0">
      <text>
        <r>
          <rPr>
            <b/>
            <sz val="9"/>
            <color indexed="81"/>
            <rFont val="Tahoma"/>
            <family val="2"/>
          </rPr>
          <t>Self-check:</t>
        </r>
        <r>
          <rPr>
            <sz val="9"/>
            <color indexed="81"/>
            <rFont val="Tahoma"/>
            <family val="2"/>
          </rPr>
          <t xml:space="preserve">
Typing 3 in D1 should be the same as base scenario, ie Profit / loss in cell H1 will be 143</t>
        </r>
      </text>
    </comment>
    <comment ref="P4" authorId="0">
      <text>
        <r>
          <rPr>
            <b/>
            <sz val="9"/>
            <color indexed="81"/>
            <rFont val="Tahoma"/>
            <family val="2"/>
          </rPr>
          <t>Reasonableness check:</t>
        </r>
        <r>
          <rPr>
            <sz val="9"/>
            <color indexed="81"/>
            <rFont val="Tahoma"/>
            <family val="2"/>
          </rPr>
          <t xml:space="preserve">
We would expect the swim to be the longest leg for the majority of competitors in the Minister's Race. Because of the improvement factor, this is no longer the case compared to the base scenario so suggests that a swim improvement factor of 9% might not be very likely to happen</t>
        </r>
      </text>
    </comment>
    <comment ref="N9" authorId="0">
      <text>
        <r>
          <rPr>
            <b/>
            <sz val="9"/>
            <color indexed="81"/>
            <rFont val="Tahoma"/>
            <family val="2"/>
          </rPr>
          <t xml:space="preserve">Reasonableness check:
</t>
        </r>
        <r>
          <rPr>
            <sz val="9"/>
            <color indexed="81"/>
            <rFont val="Tahoma"/>
            <family val="2"/>
          </rPr>
          <t xml:space="preserve">The ratio of the swim averages should be equal to the ratio of the swim lambda's.
</t>
        </r>
      </text>
    </comment>
  </commentList>
</comments>
</file>

<file path=xl/sharedStrings.xml><?xml version="1.0" encoding="utf-8"?>
<sst xmlns="http://schemas.openxmlformats.org/spreadsheetml/2006/main" count="266" uniqueCount="164">
  <si>
    <t>James</t>
  </si>
  <si>
    <t>John</t>
  </si>
  <si>
    <t>Tom</t>
  </si>
  <si>
    <t>Steve</t>
  </si>
  <si>
    <t>Greene</t>
  </si>
  <si>
    <t>Alan</t>
  </si>
  <si>
    <t>Clark</t>
  </si>
  <si>
    <t>Nick</t>
  </si>
  <si>
    <t>Cridlan</t>
  </si>
  <si>
    <t>Andrew</t>
  </si>
  <si>
    <t>Chris</t>
  </si>
  <si>
    <t>Maunder</t>
  </si>
  <si>
    <t>Williams</t>
  </si>
  <si>
    <t>Henry</t>
  </si>
  <si>
    <t>Conal</t>
  </si>
  <si>
    <t>Newland</t>
  </si>
  <si>
    <t>Richard</t>
  </si>
  <si>
    <t>Wilks</t>
  </si>
  <si>
    <t>Newman</t>
  </si>
  <si>
    <t>Jason</t>
  </si>
  <si>
    <t>Baggaley</t>
  </si>
  <si>
    <t>Goymour</t>
  </si>
  <si>
    <t>Franklin</t>
  </si>
  <si>
    <t>Martin</t>
  </si>
  <si>
    <t>Pitts</t>
  </si>
  <si>
    <t>Rees</t>
  </si>
  <si>
    <t>Melissa</t>
  </si>
  <si>
    <t>Brand</t>
  </si>
  <si>
    <t>Bashford</t>
  </si>
  <si>
    <t>Neil</t>
  </si>
  <si>
    <t>Kerfoot</t>
  </si>
  <si>
    <t>David</t>
  </si>
  <si>
    <t>Hall</t>
  </si>
  <si>
    <t>Taylor</t>
  </si>
  <si>
    <t>Philip</t>
  </si>
  <si>
    <t>Morton</t>
  </si>
  <si>
    <t>Rowen</t>
  </si>
  <si>
    <t>Grandison</t>
  </si>
  <si>
    <t>Matt</t>
  </si>
  <si>
    <t>Battensby</t>
  </si>
  <si>
    <t>Robert</t>
  </si>
  <si>
    <t>Grande</t>
  </si>
  <si>
    <t>Rory</t>
  </si>
  <si>
    <t>Percy</t>
  </si>
  <si>
    <t>Whateley</t>
  </si>
  <si>
    <t>Dailey</t>
  </si>
  <si>
    <t>Daniel</t>
  </si>
  <si>
    <t>Bent</t>
  </si>
  <si>
    <t>Coe</t>
  </si>
  <si>
    <t>Wilkinson</t>
  </si>
  <si>
    <t>Alexandra</t>
  </si>
  <si>
    <t>Houghton</t>
  </si>
  <si>
    <t>Scott</t>
  </si>
  <si>
    <t>Pryde</t>
  </si>
  <si>
    <t>Firstname</t>
  </si>
  <si>
    <t>Lastname</t>
  </si>
  <si>
    <t>Finish time</t>
  </si>
  <si>
    <t>Parameter for distribution</t>
  </si>
  <si>
    <t>Swim</t>
  </si>
  <si>
    <t>Run</t>
  </si>
  <si>
    <t>Bike</t>
  </si>
  <si>
    <t>Course distance</t>
  </si>
  <si>
    <t>Bike (km)</t>
  </si>
  <si>
    <t>Run (km)</t>
  </si>
  <si>
    <t>Inputs</t>
  </si>
  <si>
    <t>Min</t>
  </si>
  <si>
    <t>Max</t>
  </si>
  <si>
    <t>Average</t>
  </si>
  <si>
    <t>1 unit of time</t>
  </si>
  <si>
    <t>Speed</t>
  </si>
  <si>
    <t>Time</t>
  </si>
  <si>
    <t>Overall time</t>
  </si>
  <si>
    <t>Run speed km/hour</t>
  </si>
  <si>
    <t>Cycle speed km/hour</t>
  </si>
  <si>
    <t>Swim speed km/hour</t>
  </si>
  <si>
    <t>Rank</t>
  </si>
  <si>
    <t>Results</t>
  </si>
  <si>
    <t>Quartile 1</t>
  </si>
  <si>
    <t>Quartile 3</t>
  </si>
  <si>
    <t>Mean</t>
  </si>
  <si>
    <t>Summary results</t>
  </si>
  <si>
    <t>Summary of results</t>
  </si>
  <si>
    <t>Graph data</t>
  </si>
  <si>
    <t>Count</t>
  </si>
  <si>
    <t>Average derived from average speed:</t>
  </si>
  <si>
    <t>Unique identifier</t>
  </si>
  <si>
    <t>Source:</t>
  </si>
  <si>
    <t>Original Data</t>
  </si>
  <si>
    <t>Data Adjustments</t>
  </si>
  <si>
    <t>Check Total</t>
  </si>
  <si>
    <t>2) Richard Bashford:  Run Leg time can't be zero. Take the Run Leg Time to be the average Run Leg Time.  In the original data the Finish Time matches the sum of the individual legs, so a new Finish Time is also calculated.</t>
  </si>
  <si>
    <t>1) Jason Baggaley:  Finish Time doesn't match individual times.  The T1 leg time can't be zero.  The overall Finish Time looks reasonable.  Determine T1 leg time as Finish Time less(Swim+Cycle+T2+Run)</t>
  </si>
  <si>
    <t>swim_param</t>
  </si>
  <si>
    <t>bike_param</t>
  </si>
  <si>
    <t>run_param</t>
  </si>
  <si>
    <t>Hour</t>
  </si>
  <si>
    <t>Amended Data</t>
  </si>
  <si>
    <t>Check Times &gt; Charity Race</t>
  </si>
  <si>
    <t>Entry Fee</t>
  </si>
  <si>
    <t>Prize Money Base</t>
  </si>
  <si>
    <t>Multiplier</t>
  </si>
  <si>
    <t>Position</t>
  </si>
  <si>
    <t>Fixed Expenses</t>
  </si>
  <si>
    <t>Expenses per competitor</t>
  </si>
  <si>
    <t>Number of competitors</t>
  </si>
  <si>
    <t>Income</t>
  </si>
  <si>
    <t>Discount</t>
  </si>
  <si>
    <t>Position in Charity Triathlon (&lt;=)</t>
  </si>
  <si>
    <t>Outflow</t>
  </si>
  <si>
    <t>Competitor Expenses</t>
  </si>
  <si>
    <t>Prize Money</t>
  </si>
  <si>
    <t>Full Price Competitors</t>
  </si>
  <si>
    <t>Discounted Competitors</t>
  </si>
  <si>
    <t>Total</t>
  </si>
  <si>
    <t>Finish Time</t>
  </si>
  <si>
    <t>Net Cashflow</t>
  </si>
  <si>
    <t>Time to compare against</t>
  </si>
  <si>
    <t>Profit</t>
  </si>
  <si>
    <t>Dicounted Competitors</t>
  </si>
  <si>
    <t>Per Competitor Expenses</t>
  </si>
  <si>
    <t>Swim (km)</t>
  </si>
  <si>
    <t>Longest Time</t>
  </si>
  <si>
    <t>No of time longest</t>
  </si>
  <si>
    <t>Swim_sprint</t>
  </si>
  <si>
    <t>Bike_sprint</t>
  </si>
  <si>
    <t>Run_sprint</t>
  </si>
  <si>
    <t>Swim_1</t>
  </si>
  <si>
    <t>Run_1</t>
  </si>
  <si>
    <t>Bike_1</t>
  </si>
  <si>
    <t>Named ranges, where used in red italic</t>
  </si>
  <si>
    <t>Adjustment parameters :</t>
  </si>
  <si>
    <t>VLOOKUP columns</t>
  </si>
  <si>
    <t>&lt;--- Goalseek cell D1 s.t. H1 = 0</t>
  </si>
  <si>
    <t>Profit / loss :</t>
  </si>
  <si>
    <t>New Swim lambda :</t>
  </si>
  <si>
    <t>Ratio of swim λs:</t>
  </si>
  <si>
    <t>Reduction in average swim times :</t>
  </si>
  <si>
    <t>Minister for Sports</t>
  </si>
  <si>
    <t>Speeds from charity triathlon</t>
  </si>
  <si>
    <t>Minister's triathlon predictions</t>
  </si>
  <si>
    <t>Charity triathlon</t>
  </si>
  <si>
    <t>Minister's triathlon</t>
  </si>
  <si>
    <t>Swim Stage Time</t>
  </si>
  <si>
    <t>Cycle Stage Time</t>
  </si>
  <si>
    <t>Run Stage Time</t>
  </si>
  <si>
    <t>T1 Time</t>
  </si>
  <si>
    <t>T2 Time</t>
  </si>
  <si>
    <t>Results of Charity Triathlon</t>
  </si>
  <si>
    <t>3) Andrew Coe:  Finish Time doesn't match individual times.  T2 Leg Time looks to be a typo.  The overall Finish Time looks reasonable. Determine the T2 leg time as Finish Time less (Swim + T1+ Cycle + Run)</t>
  </si>
  <si>
    <t>Linked to 'Minister triathlon Adj Swim' sheet</t>
  </si>
  <si>
    <t>Event with 
Longest Time</t>
  </si>
  <si>
    <t>Longest Event</t>
  </si>
  <si>
    <t>Time
bike&gt;run&gt;swim</t>
  </si>
  <si>
    <t>Speed
bike&gt;run&gt;swim</t>
  </si>
  <si>
    <t>Johnson</t>
  </si>
  <si>
    <t>Jansch</t>
  </si>
  <si>
    <t>Check</t>
  </si>
  <si>
    <t xml:space="preserve">Check </t>
  </si>
  <si>
    <t>99:99:99</t>
  </si>
  <si>
    <t>Roberta</t>
  </si>
  <si>
    <t xml:space="preserve">Bertha </t>
  </si>
  <si>
    <t xml:space="preserve">Roberta </t>
  </si>
  <si>
    <t>4) Roberta Johnson: No data for record. Record looks as if it has been included in error. Therefore record is excluded from the data.</t>
  </si>
  <si>
    <t>5) Bertha Jansch: Apparently valid data for swim stage but it looks as if record has been corrupted or included in error. Therefore record is excluded from the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</si>
</sst>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F400]h:mm:ss\ AM/PM"/>
    <numFmt numFmtId="165" formatCode="hh:mm:ss;@"/>
    <numFmt numFmtId="166" formatCode="_-* #,##0_-;\-* #,##0_-;_-* &quot;-&quot;??_-;_-@_-"/>
    <numFmt numFmtId="167" formatCode="_-* #,##0.000_-;\-* #,##0.000_-;_-* &quot;-&quot;??_-;_-@_-"/>
    <numFmt numFmtId="168" formatCode="0.0000"/>
    <numFmt numFmtId="169" formatCode="#,##0_ ;\-#,##0\ "/>
    <numFmt numFmtId="170" formatCode="0.0%"/>
    <numFmt numFmtId="171" formatCode="_-* #,##0.00000_-;\-* #,##0.00000_-;_-* &quot;-&quot;??_-;_-@_-"/>
    <numFmt numFmtId="172" formatCode="0.000%"/>
  </numFmts>
  <fonts count="23" x14ac:knownFonts="1">
    <font>
      <sz val="10"/>
      <color theme="1"/>
      <name val="Arial"/>
      <family val="2"/>
    </font>
    <font>
      <sz val="10"/>
      <color theme="1"/>
      <name val="Arial"/>
      <family val="2"/>
    </font>
    <font>
      <b/>
      <sz val="10"/>
      <color theme="1"/>
      <name val="Arial"/>
      <family val="2"/>
    </font>
    <font>
      <sz val="8"/>
      <name val="Arial"/>
      <family val="2"/>
    </font>
    <font>
      <b/>
      <u/>
      <sz val="10"/>
      <color theme="1"/>
      <name val="Arial"/>
      <family val="2"/>
    </font>
    <font>
      <sz val="10"/>
      <color rgb="FFFF0000"/>
      <name val="Arial"/>
      <family val="2"/>
    </font>
    <font>
      <sz val="10"/>
      <name val="Arial"/>
      <family val="2"/>
    </font>
    <font>
      <sz val="11"/>
      <color rgb="FF9C0006"/>
      <name val="Calibri"/>
      <family val="2"/>
      <scheme val="minor"/>
    </font>
    <font>
      <sz val="11"/>
      <color theme="0"/>
      <name val="Calibri"/>
      <family val="2"/>
      <scheme val="minor"/>
    </font>
    <font>
      <b/>
      <sz val="10"/>
      <color rgb="FF0070C0"/>
      <name val="Arial"/>
      <family val="2"/>
    </font>
    <font>
      <b/>
      <i/>
      <sz val="11"/>
      <color rgb="FFFF0000"/>
      <name val="Calibri"/>
      <family val="2"/>
      <scheme val="minor"/>
    </font>
    <font>
      <b/>
      <sz val="10"/>
      <name val="Arial"/>
      <family val="2"/>
    </font>
    <font>
      <b/>
      <i/>
      <sz val="10"/>
      <name val="Arial"/>
      <family val="2"/>
    </font>
    <font>
      <sz val="10"/>
      <color rgb="FF7030A0"/>
      <name val="Arial"/>
      <family val="2"/>
    </font>
    <font>
      <sz val="9"/>
      <color indexed="81"/>
      <name val="Tahoma"/>
      <family val="2"/>
    </font>
    <font>
      <b/>
      <sz val="9"/>
      <color indexed="81"/>
      <name val="Tahoma"/>
      <family val="2"/>
    </font>
    <font>
      <b/>
      <sz val="10"/>
      <color rgb="FF002060"/>
      <name val="Arial"/>
      <family val="2"/>
    </font>
    <font>
      <b/>
      <i/>
      <sz val="10"/>
      <color theme="1"/>
      <name val="Arial"/>
      <family val="2"/>
    </font>
    <font>
      <b/>
      <sz val="10"/>
      <color rgb="FFFF0000"/>
      <name val="Arial"/>
      <family val="2"/>
    </font>
    <font>
      <b/>
      <i/>
      <sz val="10"/>
      <color rgb="FFFF0000"/>
      <name val="Arial"/>
      <family val="2"/>
    </font>
    <font>
      <sz val="10"/>
      <color rgb="FF9C0006"/>
      <name val="Arial"/>
      <family val="2"/>
    </font>
    <font>
      <sz val="10"/>
      <color theme="0"/>
      <name val="Arial"/>
      <family val="2"/>
    </font>
    <font>
      <sz val="10"/>
      <color rgb="FF0070C0"/>
      <name val="Arial"/>
      <family val="2"/>
    </font>
  </fonts>
  <fills count="9">
    <fill>
      <patternFill patternType="none"/>
    </fill>
    <fill>
      <patternFill patternType="gray125"/>
    </fill>
    <fill>
      <patternFill patternType="solid">
        <fgColor rgb="FFFFC7CE"/>
      </patternFill>
    </fill>
    <fill>
      <patternFill patternType="solid">
        <fgColor theme="4"/>
      </patternFill>
    </fill>
    <fill>
      <patternFill patternType="solid">
        <fgColor theme="6" tint="0.59999389629810485"/>
        <bgColor indexed="64"/>
      </patternFill>
    </fill>
    <fill>
      <patternFill patternType="solid">
        <fgColor rgb="FF00B0F0"/>
        <bgColor indexed="64"/>
      </patternFill>
    </fill>
    <fill>
      <patternFill patternType="solid">
        <fgColor theme="9" tint="0.59999389629810485"/>
        <bgColor indexed="64"/>
      </patternFill>
    </fill>
    <fill>
      <patternFill patternType="solid">
        <fgColor theme="6" tint="0.59996337778862885"/>
        <bgColor indexed="64"/>
      </patternFill>
    </fill>
    <fill>
      <patternFill patternType="solid">
        <fgColor rgb="FFFFC7CE"/>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3"/>
      </bottom>
      <diagonal/>
    </border>
    <border>
      <left/>
      <right style="medium">
        <color indexed="63"/>
      </right>
      <top/>
      <bottom style="medium">
        <color indexed="63"/>
      </bottom>
      <diagonal/>
    </border>
    <border>
      <left style="medium">
        <color indexed="63"/>
      </left>
      <right/>
      <top/>
      <bottom style="medium">
        <color indexed="63"/>
      </bottom>
      <diagonal/>
    </border>
    <border>
      <left/>
      <right style="medium">
        <color indexed="64"/>
      </right>
      <top/>
      <bottom style="medium">
        <color indexed="63"/>
      </bottom>
      <diagonal/>
    </border>
    <border>
      <left style="thin">
        <color indexed="63"/>
      </left>
      <right style="thin">
        <color indexed="63"/>
      </right>
      <top/>
      <bottom/>
      <diagonal/>
    </border>
  </borders>
  <cellStyleXfs count="6">
    <xf numFmtId="0" fontId="0" fillId="0" borderId="0"/>
    <xf numFmtId="43" fontId="1"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9" fontId="1" fillId="0" borderId="0" applyFont="0" applyFill="0" applyBorder="0" applyAlignment="0" applyProtection="0"/>
    <xf numFmtId="0" fontId="1" fillId="0" borderId="0"/>
  </cellStyleXfs>
  <cellXfs count="230">
    <xf numFmtId="0" fontId="0" fillId="0" borderId="0" xfId="0"/>
    <xf numFmtId="0" fontId="0" fillId="0" borderId="0" xfId="0" applyFill="1"/>
    <xf numFmtId="0" fontId="2" fillId="0" borderId="0" xfId="0" applyFont="1"/>
    <xf numFmtId="21" fontId="0" fillId="0" borderId="0" xfId="0" applyNumberFormat="1" applyFill="1"/>
    <xf numFmtId="0" fontId="0" fillId="0" borderId="0" xfId="0" applyAlignment="1">
      <alignment horizontal="right"/>
    </xf>
    <xf numFmtId="43" fontId="0" fillId="0" borderId="0" xfId="1" applyFont="1"/>
    <xf numFmtId="164" fontId="0" fillId="0" borderId="0" xfId="0" applyNumberFormat="1"/>
    <xf numFmtId="164" fontId="0" fillId="0" borderId="0" xfId="1" applyNumberFormat="1" applyFont="1"/>
    <xf numFmtId="165" fontId="0" fillId="0" borderId="0" xfId="0" applyNumberFormat="1"/>
    <xf numFmtId="0" fontId="4" fillId="0" borderId="0" xfId="0" applyFont="1"/>
    <xf numFmtId="0" fontId="4" fillId="0" borderId="0" xfId="0" applyFont="1" applyFill="1"/>
    <xf numFmtId="0" fontId="0" fillId="0" borderId="0" xfId="0" applyFill="1" applyBorder="1"/>
    <xf numFmtId="0" fontId="3" fillId="0" borderId="0" xfId="0" applyNumberFormat="1" applyFont="1" applyFill="1" applyBorder="1" applyAlignment="1" applyProtection="1">
      <alignment horizontal="left" vertical="top" wrapText="1"/>
    </xf>
    <xf numFmtId="21" fontId="3" fillId="0" borderId="0" xfId="0" applyNumberFormat="1" applyFont="1" applyFill="1" applyBorder="1" applyAlignment="1" applyProtection="1">
      <alignment horizontal="left" vertical="top" wrapText="1"/>
    </xf>
    <xf numFmtId="0" fontId="5" fillId="0" borderId="0" xfId="0" applyFont="1" applyFill="1"/>
    <xf numFmtId="21" fontId="5" fillId="0" borderId="0" xfId="0" applyNumberFormat="1" applyFont="1" applyFill="1"/>
    <xf numFmtId="43" fontId="5" fillId="0" borderId="0" xfId="1" applyFont="1" applyFill="1"/>
    <xf numFmtId="0" fontId="5" fillId="0" borderId="0" xfId="0" applyFont="1"/>
    <xf numFmtId="164" fontId="5" fillId="0" borderId="0" xfId="0" applyNumberFormat="1" applyFont="1"/>
    <xf numFmtId="0" fontId="5" fillId="0" borderId="0" xfId="0" applyFont="1" applyAlignment="1">
      <alignment horizontal="right"/>
    </xf>
    <xf numFmtId="0" fontId="6" fillId="0" borderId="0" xfId="0" applyFont="1"/>
    <xf numFmtId="0" fontId="0" fillId="4" borderId="4" xfId="0" applyFill="1" applyBorder="1"/>
    <xf numFmtId="0" fontId="0" fillId="4" borderId="5" xfId="0" applyFill="1" applyBorder="1"/>
    <xf numFmtId="0" fontId="0" fillId="4" borderId="7" xfId="0" applyFill="1" applyBorder="1"/>
    <xf numFmtId="0" fontId="0" fillId="4" borderId="9" xfId="0" applyFill="1" applyBorder="1"/>
    <xf numFmtId="0" fontId="0" fillId="4" borderId="10" xfId="0" applyFill="1" applyBorder="1"/>
    <xf numFmtId="0" fontId="0" fillId="0" borderId="3" xfId="0" applyBorder="1"/>
    <xf numFmtId="0" fontId="0" fillId="0" borderId="12" xfId="0" applyBorder="1"/>
    <xf numFmtId="0" fontId="0" fillId="0" borderId="5" xfId="0" applyBorder="1"/>
    <xf numFmtId="0" fontId="0" fillId="0" borderId="0" xfId="0" applyBorder="1"/>
    <xf numFmtId="0" fontId="0" fillId="0" borderId="7" xfId="0" applyBorder="1"/>
    <xf numFmtId="0" fontId="0" fillId="0" borderId="13" xfId="0" applyBorder="1"/>
    <xf numFmtId="0" fontId="0" fillId="4" borderId="14" xfId="0" applyFill="1" applyBorder="1"/>
    <xf numFmtId="0" fontId="0" fillId="4" borderId="15" xfId="0" applyFill="1" applyBorder="1"/>
    <xf numFmtId="0" fontId="0" fillId="4" borderId="16" xfId="0" applyFill="1" applyBorder="1"/>
    <xf numFmtId="0" fontId="0" fillId="4" borderId="0" xfId="0" applyFill="1" applyBorder="1"/>
    <xf numFmtId="0" fontId="0" fillId="4" borderId="13" xfId="0" applyFill="1" applyBorder="1"/>
    <xf numFmtId="0" fontId="0" fillId="4" borderId="12" xfId="0" applyFill="1" applyBorder="1"/>
    <xf numFmtId="21" fontId="6" fillId="0" borderId="0" xfId="0" applyNumberFormat="1" applyFont="1" applyFill="1" applyBorder="1" applyAlignment="1" applyProtection="1">
      <alignment horizontal="left" vertical="top" wrapText="1"/>
    </xf>
    <xf numFmtId="21" fontId="6" fillId="0" borderId="3" xfId="0" applyNumberFormat="1" applyFont="1" applyFill="1" applyBorder="1" applyAlignment="1" applyProtection="1">
      <alignment horizontal="left" vertical="top" wrapText="1"/>
    </xf>
    <xf numFmtId="21" fontId="6" fillId="0" borderId="12" xfId="0" applyNumberFormat="1" applyFont="1" applyFill="1" applyBorder="1" applyAlignment="1" applyProtection="1">
      <alignment horizontal="left" vertical="top" wrapText="1"/>
    </xf>
    <xf numFmtId="21" fontId="6" fillId="0" borderId="4" xfId="0" applyNumberFormat="1" applyFont="1" applyFill="1" applyBorder="1" applyAlignment="1" applyProtection="1">
      <alignment horizontal="left" vertical="top" wrapText="1"/>
    </xf>
    <xf numFmtId="21" fontId="6" fillId="0" borderId="5" xfId="0" applyNumberFormat="1" applyFont="1" applyFill="1" applyBorder="1" applyAlignment="1" applyProtection="1">
      <alignment horizontal="left" vertical="top" wrapText="1"/>
    </xf>
    <xf numFmtId="21" fontId="6" fillId="0" borderId="6" xfId="0" applyNumberFormat="1" applyFont="1" applyFill="1" applyBorder="1" applyAlignment="1" applyProtection="1">
      <alignment horizontal="left" vertical="top" wrapText="1"/>
    </xf>
    <xf numFmtId="21" fontId="6" fillId="0" borderId="7" xfId="0" applyNumberFormat="1" applyFont="1" applyFill="1" applyBorder="1" applyAlignment="1" applyProtection="1">
      <alignment horizontal="left" vertical="top" wrapText="1"/>
    </xf>
    <xf numFmtId="21" fontId="6" fillId="0" borderId="13" xfId="0" applyNumberFormat="1" applyFont="1" applyFill="1" applyBorder="1" applyAlignment="1" applyProtection="1">
      <alignment horizontal="left" vertical="top" wrapText="1"/>
    </xf>
    <xf numFmtId="21" fontId="6" fillId="0" borderId="8" xfId="0" applyNumberFormat="1" applyFont="1" applyFill="1" applyBorder="1" applyAlignment="1" applyProtection="1">
      <alignment horizontal="left" vertical="top" wrapText="1"/>
    </xf>
    <xf numFmtId="21" fontId="0" fillId="0" borderId="3" xfId="0" applyNumberFormat="1" applyFill="1" applyBorder="1" applyAlignment="1">
      <alignment horizontal="left"/>
    </xf>
    <xf numFmtId="21" fontId="0" fillId="0" borderId="12" xfId="0" applyNumberFormat="1" applyFill="1" applyBorder="1" applyAlignment="1">
      <alignment horizontal="left"/>
    </xf>
    <xf numFmtId="21" fontId="0" fillId="0" borderId="4" xfId="0" applyNumberFormat="1" applyFill="1" applyBorder="1" applyAlignment="1">
      <alignment horizontal="left"/>
    </xf>
    <xf numFmtId="21" fontId="0" fillId="0" borderId="5" xfId="0" applyNumberFormat="1" applyFill="1" applyBorder="1" applyAlignment="1">
      <alignment horizontal="left"/>
    </xf>
    <xf numFmtId="21" fontId="0" fillId="0" borderId="0" xfId="0" applyNumberFormat="1" applyFill="1" applyBorder="1" applyAlignment="1">
      <alignment horizontal="left"/>
    </xf>
    <xf numFmtId="21" fontId="0" fillId="0" borderId="6" xfId="0" applyNumberFormat="1" applyFill="1" applyBorder="1" applyAlignment="1">
      <alignment horizontal="left"/>
    </xf>
    <xf numFmtId="166" fontId="0" fillId="0" borderId="7" xfId="1" applyNumberFormat="1" applyFont="1" applyFill="1" applyBorder="1" applyAlignment="1">
      <alignment horizontal="left"/>
    </xf>
    <xf numFmtId="166" fontId="0" fillId="0" borderId="13" xfId="1" applyNumberFormat="1" applyFont="1" applyFill="1" applyBorder="1" applyAlignment="1">
      <alignment horizontal="left"/>
    </xf>
    <xf numFmtId="166" fontId="0" fillId="0" borderId="8" xfId="1" applyNumberFormat="1" applyFont="1" applyFill="1" applyBorder="1" applyAlignment="1">
      <alignment horizontal="left"/>
    </xf>
    <xf numFmtId="0" fontId="0" fillId="0" borderId="0" xfId="0" applyFont="1"/>
    <xf numFmtId="0" fontId="9" fillId="0" borderId="0" xfId="0" applyFont="1"/>
    <xf numFmtId="0" fontId="0" fillId="5" borderId="14" xfId="0" applyFill="1" applyBorder="1"/>
    <xf numFmtId="0" fontId="0" fillId="5" borderId="15" xfId="0" applyFill="1" applyBorder="1"/>
    <xf numFmtId="0" fontId="0" fillId="5" borderId="16" xfId="0" applyFill="1" applyBorder="1"/>
    <xf numFmtId="0" fontId="0" fillId="0" borderId="14" xfId="0" applyBorder="1"/>
    <xf numFmtId="0" fontId="0" fillId="0" borderId="15" xfId="0" applyBorder="1"/>
    <xf numFmtId="0" fontId="0" fillId="0" borderId="16" xfId="0" applyBorder="1"/>
    <xf numFmtId="0" fontId="0" fillId="0" borderId="2" xfId="0" applyBorder="1"/>
    <xf numFmtId="0" fontId="0" fillId="5" borderId="0" xfId="0" applyFill="1" applyBorder="1" applyAlignment="1">
      <alignment horizontal="center"/>
    </xf>
    <xf numFmtId="0" fontId="0" fillId="5" borderId="6" xfId="0" applyFill="1" applyBorder="1" applyAlignment="1">
      <alignment horizontal="center"/>
    </xf>
    <xf numFmtId="0" fontId="0" fillId="5" borderId="13" xfId="0" applyFill="1" applyBorder="1" applyAlignment="1">
      <alignment horizontal="center"/>
    </xf>
    <xf numFmtId="0" fontId="0" fillId="5" borderId="8" xfId="0" applyFill="1" applyBorder="1" applyAlignment="1">
      <alignment horizontal="center"/>
    </xf>
    <xf numFmtId="0" fontId="0" fillId="4" borderId="2" xfId="0" applyFill="1" applyBorder="1"/>
    <xf numFmtId="0" fontId="0" fillId="4" borderId="11" xfId="0" applyFill="1" applyBorder="1" applyAlignment="1">
      <alignment horizontal="center"/>
    </xf>
    <xf numFmtId="0" fontId="0" fillId="4" borderId="10" xfId="0" applyFill="1" applyBorder="1" applyAlignment="1">
      <alignment horizontal="center"/>
    </xf>
    <xf numFmtId="21" fontId="0" fillId="5" borderId="10" xfId="0" applyNumberFormat="1" applyFill="1" applyBorder="1"/>
    <xf numFmtId="0" fontId="10" fillId="0" borderId="0" xfId="0" applyFont="1"/>
    <xf numFmtId="0" fontId="0" fillId="0" borderId="0" xfId="0" applyFont="1" applyFill="1"/>
    <xf numFmtId="0" fontId="6" fillId="4" borderId="5" xfId="0" applyNumberFormat="1" applyFont="1" applyFill="1" applyBorder="1" applyAlignment="1" applyProtection="1">
      <alignment horizontal="left" vertical="top" wrapText="1"/>
    </xf>
    <xf numFmtId="0" fontId="6" fillId="4" borderId="0" xfId="0" applyNumberFormat="1" applyFont="1" applyFill="1" applyBorder="1" applyAlignment="1" applyProtection="1">
      <alignment horizontal="left" vertical="top" wrapText="1"/>
    </xf>
    <xf numFmtId="43" fontId="6" fillId="0" borderId="12" xfId="1" applyFont="1" applyFill="1" applyBorder="1" applyAlignment="1" applyProtection="1">
      <alignment horizontal="left" vertical="top" wrapText="1"/>
    </xf>
    <xf numFmtId="43" fontId="6" fillId="0" borderId="4" xfId="1" applyFont="1" applyFill="1" applyBorder="1" applyAlignment="1" applyProtection="1">
      <alignment horizontal="left" vertical="top" wrapText="1"/>
    </xf>
    <xf numFmtId="43" fontId="6" fillId="0" borderId="0" xfId="1" applyFont="1" applyFill="1" applyBorder="1" applyAlignment="1" applyProtection="1">
      <alignment horizontal="left" vertical="top" wrapText="1"/>
    </xf>
    <xf numFmtId="43" fontId="6" fillId="0" borderId="6" xfId="1" applyFont="1" applyFill="1" applyBorder="1" applyAlignment="1" applyProtection="1">
      <alignment horizontal="left" vertical="top" wrapText="1"/>
    </xf>
    <xf numFmtId="0" fontId="6" fillId="4" borderId="7" xfId="0" applyNumberFormat="1" applyFont="1" applyFill="1" applyBorder="1" applyAlignment="1" applyProtection="1">
      <alignment horizontal="left" vertical="top" wrapText="1"/>
    </xf>
    <xf numFmtId="0" fontId="6" fillId="4" borderId="13" xfId="0" applyNumberFormat="1" applyFont="1" applyFill="1" applyBorder="1" applyAlignment="1" applyProtection="1">
      <alignment horizontal="left" vertical="top" wrapText="1"/>
    </xf>
    <xf numFmtId="43" fontId="6" fillId="0" borderId="13" xfId="1" applyFont="1" applyFill="1" applyBorder="1" applyAlignment="1" applyProtection="1">
      <alignment horizontal="left" vertical="top" wrapText="1"/>
    </xf>
    <xf numFmtId="43" fontId="6" fillId="0" borderId="8" xfId="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0" fillId="4" borderId="12" xfId="0" applyFill="1" applyBorder="1" applyAlignment="1">
      <alignment horizontal="center" wrapText="1"/>
    </xf>
    <xf numFmtId="0" fontId="0" fillId="4" borderId="4" xfId="0" applyFill="1" applyBorder="1" applyAlignment="1">
      <alignment horizontal="center" wrapText="1"/>
    </xf>
    <xf numFmtId="166" fontId="0" fillId="0" borderId="13" xfId="1" applyNumberFormat="1" applyFont="1" applyFill="1" applyBorder="1" applyAlignment="1"/>
    <xf numFmtId="166" fontId="0" fillId="0" borderId="8" xfId="1" applyNumberFormat="1" applyFont="1" applyFill="1" applyBorder="1" applyAlignment="1"/>
    <xf numFmtId="0" fontId="6" fillId="0" borderId="13" xfId="0" applyNumberFormat="1" applyFont="1" applyFill="1" applyBorder="1" applyAlignment="1" applyProtection="1">
      <alignment horizontal="left" vertical="top" wrapText="1"/>
    </xf>
    <xf numFmtId="0" fontId="6" fillId="0" borderId="12" xfId="0" applyNumberFormat="1" applyFont="1" applyFill="1" applyBorder="1" applyAlignment="1" applyProtection="1">
      <alignment horizontal="left" vertical="top" wrapText="1"/>
    </xf>
    <xf numFmtId="0" fontId="6" fillId="4" borderId="3" xfId="0" applyNumberFormat="1" applyFont="1" applyFill="1" applyBorder="1" applyAlignment="1" applyProtection="1">
      <alignment horizontal="left" vertical="top" wrapText="1"/>
    </xf>
    <xf numFmtId="0" fontId="6" fillId="4" borderId="12" xfId="0" applyNumberFormat="1" applyFont="1" applyFill="1" applyBorder="1" applyAlignment="1" applyProtection="1">
      <alignment horizontal="left" vertical="top" wrapText="1"/>
    </xf>
    <xf numFmtId="0" fontId="6" fillId="4" borderId="4" xfId="0" applyNumberFormat="1" applyFont="1" applyFill="1" applyBorder="1" applyAlignment="1" applyProtection="1">
      <alignment horizontal="left" vertical="top" wrapText="1"/>
    </xf>
    <xf numFmtId="0" fontId="6" fillId="4" borderId="6" xfId="0" applyNumberFormat="1" applyFont="1" applyFill="1" applyBorder="1" applyAlignment="1" applyProtection="1">
      <alignment horizontal="left" vertical="top" wrapText="1"/>
    </xf>
    <xf numFmtId="0" fontId="6" fillId="4" borderId="8" xfId="0" applyNumberFormat="1" applyFont="1" applyFill="1" applyBorder="1" applyAlignment="1" applyProtection="1">
      <alignment horizontal="left" vertical="top" wrapText="1"/>
    </xf>
    <xf numFmtId="0" fontId="5" fillId="4" borderId="14" xfId="0" applyFont="1" applyFill="1" applyBorder="1"/>
    <xf numFmtId="0" fontId="12" fillId="0" borderId="0" xfId="0" applyFont="1"/>
    <xf numFmtId="164" fontId="12" fillId="0" borderId="0" xfId="1" applyNumberFormat="1" applyFont="1"/>
    <xf numFmtId="164" fontId="6" fillId="0" borderId="0" xfId="0" applyNumberFormat="1" applyFont="1"/>
    <xf numFmtId="0" fontId="6" fillId="4" borderId="14" xfId="0" applyFont="1" applyFill="1" applyBorder="1"/>
    <xf numFmtId="43" fontId="6" fillId="0" borderId="3" xfId="0" applyNumberFormat="1" applyFont="1" applyBorder="1"/>
    <xf numFmtId="43" fontId="6" fillId="0" borderId="12" xfId="0" applyNumberFormat="1" applyFont="1" applyBorder="1"/>
    <xf numFmtId="164" fontId="6" fillId="0" borderId="12" xfId="1" applyNumberFormat="1" applyFont="1" applyBorder="1"/>
    <xf numFmtId="164" fontId="6" fillId="0" borderId="4" xfId="1" applyNumberFormat="1" applyFont="1" applyBorder="1"/>
    <xf numFmtId="0" fontId="6" fillId="4" borderId="15" xfId="0" applyFont="1" applyFill="1" applyBorder="1"/>
    <xf numFmtId="43" fontId="6" fillId="0" borderId="5" xfId="0" applyNumberFormat="1" applyFont="1" applyBorder="1"/>
    <xf numFmtId="43" fontId="6" fillId="0" borderId="0" xfId="0" applyNumberFormat="1" applyFont="1" applyBorder="1"/>
    <xf numFmtId="164" fontId="6" fillId="0" borderId="0" xfId="1" applyNumberFormat="1" applyFont="1" applyBorder="1"/>
    <xf numFmtId="164" fontId="6" fillId="0" borderId="6" xfId="1" applyNumberFormat="1" applyFont="1" applyBorder="1"/>
    <xf numFmtId="0" fontId="6" fillId="4" borderId="16" xfId="0" applyFont="1" applyFill="1" applyBorder="1"/>
    <xf numFmtId="43" fontId="6" fillId="0" borderId="7" xfId="0" applyNumberFormat="1" applyFont="1" applyBorder="1"/>
    <xf numFmtId="43" fontId="6" fillId="0" borderId="13" xfId="0" applyNumberFormat="1" applyFont="1" applyBorder="1"/>
    <xf numFmtId="164" fontId="6" fillId="0" borderId="13" xfId="1" applyNumberFormat="1" applyFont="1" applyBorder="1"/>
    <xf numFmtId="164" fontId="6" fillId="0" borderId="8" xfId="1" applyNumberFormat="1" applyFont="1" applyBorder="1"/>
    <xf numFmtId="0" fontId="0" fillId="4" borderId="3" xfId="0" applyFont="1" applyFill="1" applyBorder="1"/>
    <xf numFmtId="0" fontId="0" fillId="4" borderId="12" xfId="0" applyFont="1" applyFill="1" applyBorder="1"/>
    <xf numFmtId="0" fontId="6" fillId="4" borderId="7" xfId="0" applyNumberFormat="1" applyFont="1" applyFill="1" applyBorder="1" applyAlignment="1" applyProtection="1">
      <alignment horizontal="left" wrapText="1"/>
    </xf>
    <xf numFmtId="0" fontId="6" fillId="4" borderId="13" xfId="0" applyNumberFormat="1" applyFont="1" applyFill="1" applyBorder="1" applyAlignment="1" applyProtection="1">
      <alignment horizontal="left" wrapText="1"/>
    </xf>
    <xf numFmtId="43" fontId="0" fillId="0" borderId="0" xfId="1" applyFont="1" applyBorder="1"/>
    <xf numFmtId="164" fontId="0" fillId="0" borderId="0" xfId="1" applyNumberFormat="1" applyFont="1" applyBorder="1"/>
    <xf numFmtId="164" fontId="0" fillId="0" borderId="6" xfId="0" applyNumberFormat="1" applyBorder="1"/>
    <xf numFmtId="43" fontId="0" fillId="0" borderId="13" xfId="1" applyFont="1" applyBorder="1"/>
    <xf numFmtId="164" fontId="0" fillId="0" borderId="13" xfId="1" applyNumberFormat="1" applyFont="1" applyBorder="1"/>
    <xf numFmtId="164" fontId="0" fillId="0" borderId="8" xfId="0" applyNumberFormat="1" applyBorder="1"/>
    <xf numFmtId="164" fontId="9" fillId="0" borderId="15" xfId="0" applyNumberFormat="1" applyFont="1" applyBorder="1"/>
    <xf numFmtId="164" fontId="9" fillId="0" borderId="16" xfId="0" applyNumberFormat="1" applyFont="1" applyBorder="1"/>
    <xf numFmtId="0" fontId="2" fillId="4" borderId="3" xfId="0" applyFont="1" applyFill="1" applyBorder="1"/>
    <xf numFmtId="43" fontId="0" fillId="0" borderId="12" xfId="1" applyFont="1" applyBorder="1"/>
    <xf numFmtId="164" fontId="0" fillId="0" borderId="12" xfId="1" applyNumberFormat="1" applyFont="1" applyBorder="1"/>
    <xf numFmtId="164" fontId="0" fillId="0" borderId="4" xfId="0" applyNumberFormat="1" applyBorder="1"/>
    <xf numFmtId="9" fontId="0" fillId="5" borderId="8" xfId="0" applyNumberFormat="1" applyFill="1" applyBorder="1"/>
    <xf numFmtId="0" fontId="0" fillId="5" borderId="2" xfId="0" applyFill="1" applyBorder="1"/>
    <xf numFmtId="0" fontId="0" fillId="5" borderId="4" xfId="0" applyFill="1" applyBorder="1"/>
    <xf numFmtId="0" fontId="0" fillId="5" borderId="6" xfId="0" applyFill="1" applyBorder="1"/>
    <xf numFmtId="0" fontId="0" fillId="5" borderId="8" xfId="0" applyFill="1" applyBorder="1"/>
    <xf numFmtId="43" fontId="0" fillId="0" borderId="0" xfId="0" applyNumberFormat="1"/>
    <xf numFmtId="21" fontId="0" fillId="5" borderId="2" xfId="0" applyNumberFormat="1" applyFill="1" applyBorder="1"/>
    <xf numFmtId="43" fontId="0" fillId="0" borderId="4" xfId="1" applyFont="1" applyBorder="1"/>
    <xf numFmtId="43" fontId="0" fillId="0" borderId="6" xfId="1" applyFont="1" applyBorder="1"/>
    <xf numFmtId="43" fontId="0" fillId="0" borderId="8" xfId="1" applyFont="1" applyBorder="1"/>
    <xf numFmtId="43" fontId="0" fillId="0" borderId="10" xfId="0" applyNumberFormat="1" applyBorder="1"/>
    <xf numFmtId="0" fontId="0" fillId="4" borderId="14" xfId="0" applyFill="1" applyBorder="1" applyAlignment="1">
      <alignment horizontal="right"/>
    </xf>
    <xf numFmtId="0" fontId="0" fillId="4" borderId="16" xfId="0" applyFill="1" applyBorder="1" applyAlignment="1">
      <alignment horizontal="right"/>
    </xf>
    <xf numFmtId="0" fontId="0" fillId="4" borderId="15" xfId="0" applyFill="1" applyBorder="1" applyAlignment="1">
      <alignment horizontal="right"/>
    </xf>
    <xf numFmtId="43" fontId="0" fillId="0" borderId="16" xfId="0" applyNumberFormat="1" applyBorder="1"/>
    <xf numFmtId="0" fontId="0" fillId="4" borderId="2" xfId="0" applyFill="1" applyBorder="1" applyAlignment="1">
      <alignment horizontal="right"/>
    </xf>
    <xf numFmtId="43" fontId="0" fillId="0" borderId="2" xfId="0" applyNumberFormat="1" applyBorder="1"/>
    <xf numFmtId="0" fontId="11" fillId="0" borderId="1"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top" wrapText="1"/>
    </xf>
    <xf numFmtId="21" fontId="6" fillId="0" borderId="1" xfId="0" applyNumberFormat="1" applyFont="1" applyFill="1" applyBorder="1" applyAlignment="1" applyProtection="1">
      <alignment horizontal="left" vertical="top" wrapText="1"/>
    </xf>
    <xf numFmtId="166" fontId="0" fillId="0" borderId="7" xfId="1" applyNumberFormat="1" applyFont="1" applyFill="1" applyBorder="1" applyAlignment="1"/>
    <xf numFmtId="0" fontId="9" fillId="0" borderId="14" xfId="0" applyFont="1" applyBorder="1"/>
    <xf numFmtId="0" fontId="9" fillId="0" borderId="15" xfId="0" applyFont="1" applyBorder="1"/>
    <xf numFmtId="0" fontId="9" fillId="0" borderId="16" xfId="0" applyFont="1" applyBorder="1"/>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0" fillId="4" borderId="3" xfId="0" applyFill="1" applyBorder="1"/>
    <xf numFmtId="167" fontId="0" fillId="0" borderId="0" xfId="1" applyNumberFormat="1" applyFont="1"/>
    <xf numFmtId="0" fontId="13" fillId="0" borderId="0" xfId="0" applyFont="1"/>
    <xf numFmtId="169" fontId="13" fillId="0" borderId="0" xfId="1" applyNumberFormat="1" applyFont="1"/>
    <xf numFmtId="170" fontId="0" fillId="0" borderId="0" xfId="0" applyNumberFormat="1"/>
    <xf numFmtId="0" fontId="0" fillId="4" borderId="8" xfId="0" applyFill="1" applyBorder="1"/>
    <xf numFmtId="164" fontId="0" fillId="0" borderId="0" xfId="0" applyNumberFormat="1" applyBorder="1"/>
    <xf numFmtId="0" fontId="12" fillId="0" borderId="0" xfId="0" applyFont="1" applyAlignment="1">
      <alignment horizontal="left"/>
    </xf>
    <xf numFmtId="0" fontId="17" fillId="0" borderId="0" xfId="0" applyFont="1" applyAlignment="1">
      <alignment horizontal="right"/>
    </xf>
    <xf numFmtId="0" fontId="2" fillId="4" borderId="5" xfId="0" applyFont="1" applyFill="1" applyBorder="1"/>
    <xf numFmtId="0" fontId="0" fillId="4" borderId="6" xfId="0" applyFill="1" applyBorder="1"/>
    <xf numFmtId="0" fontId="12" fillId="0" borderId="0" xfId="0" applyFont="1" applyAlignment="1">
      <alignment horizontal="right"/>
    </xf>
    <xf numFmtId="0" fontId="0" fillId="0" borderId="0" xfId="0" applyFill="1" applyAlignment="1"/>
    <xf numFmtId="0" fontId="2" fillId="0" borderId="0" xfId="0" applyFont="1" applyFill="1" applyAlignment="1">
      <alignment horizontal="right"/>
    </xf>
    <xf numFmtId="0" fontId="16" fillId="0" borderId="0" xfId="0" applyFont="1" applyAlignment="1">
      <alignment horizontal="right"/>
    </xf>
    <xf numFmtId="0" fontId="19" fillId="0" borderId="0" xfId="0" quotePrefix="1" applyFont="1"/>
    <xf numFmtId="168" fontId="11" fillId="6" borderId="0" xfId="0" applyNumberFormat="1" applyFont="1" applyFill="1"/>
    <xf numFmtId="164" fontId="12" fillId="6" borderId="0" xfId="1" applyNumberFormat="1" applyFont="1" applyFill="1"/>
    <xf numFmtId="164" fontId="11" fillId="6" borderId="0" xfId="0" applyNumberFormat="1" applyFont="1" applyFill="1"/>
    <xf numFmtId="168" fontId="18" fillId="6" borderId="0" xfId="0" applyNumberFormat="1" applyFont="1" applyFill="1"/>
    <xf numFmtId="43" fontId="16" fillId="6" borderId="0" xfId="0" applyNumberFormat="1" applyFont="1" applyFill="1"/>
    <xf numFmtId="170" fontId="11" fillId="6" borderId="0" xfId="0" applyNumberFormat="1" applyFont="1" applyFill="1" applyAlignment="1">
      <alignment horizontal="center"/>
    </xf>
    <xf numFmtId="170" fontId="2" fillId="6" borderId="0" xfId="0" applyNumberFormat="1" applyFont="1" applyFill="1" applyAlignment="1">
      <alignment horizontal="center"/>
    </xf>
    <xf numFmtId="171" fontId="0" fillId="5" borderId="8" xfId="1" applyNumberFormat="1" applyFont="1" applyFill="1" applyBorder="1"/>
    <xf numFmtId="21" fontId="1" fillId="0" borderId="12" xfId="0" applyNumberFormat="1" applyFont="1" applyFill="1" applyBorder="1" applyAlignment="1">
      <alignment horizontal="left"/>
    </xf>
    <xf numFmtId="21" fontId="1" fillId="0" borderId="0" xfId="0" applyNumberFormat="1" applyFont="1" applyFill="1" applyBorder="1" applyAlignment="1">
      <alignment horizontal="left"/>
    </xf>
    <xf numFmtId="21" fontId="1" fillId="0" borderId="6" xfId="0" applyNumberFormat="1" applyFont="1" applyFill="1" applyBorder="1" applyAlignment="1">
      <alignment horizontal="left"/>
    </xf>
    <xf numFmtId="21" fontId="20" fillId="2" borderId="12" xfId="2" applyNumberFormat="1" applyFont="1" applyBorder="1" applyAlignment="1" applyProtection="1">
      <alignment horizontal="left" vertical="top" wrapText="1"/>
    </xf>
    <xf numFmtId="21" fontId="20" fillId="2" borderId="4" xfId="2" applyNumberFormat="1" applyFont="1" applyBorder="1" applyAlignment="1" applyProtection="1">
      <alignment horizontal="left" vertical="top" wrapText="1"/>
    </xf>
    <xf numFmtId="21" fontId="20" fillId="2" borderId="0" xfId="2" applyNumberFormat="1" applyFont="1" applyBorder="1" applyAlignment="1" applyProtection="1">
      <alignment horizontal="left" vertical="top" wrapText="1"/>
    </xf>
    <xf numFmtId="21" fontId="20" fillId="2" borderId="6" xfId="2" applyNumberFormat="1" applyFont="1" applyBorder="1" applyAlignment="1" applyProtection="1">
      <alignment horizontal="left" vertical="top" wrapText="1"/>
    </xf>
    <xf numFmtId="21" fontId="21" fillId="3" borderId="0" xfId="3" applyNumberFormat="1" applyFont="1" applyBorder="1" applyAlignment="1" applyProtection="1">
      <alignment horizontal="left" vertical="top" wrapText="1"/>
    </xf>
    <xf numFmtId="21" fontId="21" fillId="3" borderId="5" xfId="3" applyNumberFormat="1" applyFont="1" applyBorder="1" applyAlignment="1" applyProtection="1">
      <alignment horizontal="left" vertical="top" wrapText="1"/>
    </xf>
    <xf numFmtId="21" fontId="21" fillId="3" borderId="6" xfId="3" applyNumberFormat="1" applyFont="1" applyBorder="1" applyAlignment="1" applyProtection="1">
      <alignment horizontal="left" vertical="top" wrapText="1"/>
    </xf>
    <xf numFmtId="43" fontId="0" fillId="0" borderId="4" xfId="1" applyNumberFormat="1" applyFont="1" applyBorder="1"/>
    <xf numFmtId="172" fontId="6" fillId="0" borderId="0" xfId="4" applyNumberFormat="1" applyFont="1"/>
    <xf numFmtId="9" fontId="0" fillId="0" borderId="0" xfId="4" applyFont="1"/>
    <xf numFmtId="164" fontId="22" fillId="0" borderId="12" xfId="1" applyNumberFormat="1" applyFont="1" applyBorder="1"/>
    <xf numFmtId="164" fontId="22" fillId="0" borderId="0" xfId="1" applyNumberFormat="1" applyFont="1" applyBorder="1"/>
    <xf numFmtId="164" fontId="22" fillId="0" borderId="13" xfId="1" applyNumberFormat="1" applyFont="1" applyBorder="1"/>
    <xf numFmtId="0" fontId="22" fillId="0" borderId="0" xfId="0" applyFont="1"/>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2" fillId="4" borderId="2" xfId="0" applyFont="1" applyFill="1" applyBorder="1" applyAlignment="1">
      <alignment horizontal="center" wrapText="1"/>
    </xf>
    <xf numFmtId="0" fontId="12" fillId="0" borderId="0" xfId="0" applyNumberFormat="1" applyFont="1" applyFill="1" applyBorder="1" applyAlignment="1" applyProtection="1">
      <alignment horizontal="left" vertical="top" wrapText="1"/>
    </xf>
    <xf numFmtId="0" fontId="6" fillId="7" borderId="19" xfId="5" applyNumberFormat="1" applyFont="1" applyFill="1" applyBorder="1" applyAlignment="1" applyProtection="1">
      <alignment horizontal="left" vertical="top" wrapText="1"/>
    </xf>
    <xf numFmtId="0" fontId="6" fillId="7" borderId="18" xfId="5" applyNumberFormat="1" applyFont="1" applyFill="1" applyBorder="1" applyAlignment="1" applyProtection="1">
      <alignment horizontal="left" vertical="top" wrapText="1"/>
    </xf>
    <xf numFmtId="21" fontId="20" fillId="2" borderId="19" xfId="2" applyNumberFormat="1" applyFont="1" applyBorder="1" applyAlignment="1" applyProtection="1">
      <alignment horizontal="left" vertical="top" wrapText="1"/>
    </xf>
    <xf numFmtId="21" fontId="20" fillId="2" borderId="17" xfId="2" applyNumberFormat="1" applyFont="1" applyBorder="1" applyAlignment="1" applyProtection="1">
      <alignment horizontal="left" vertical="top" wrapText="1"/>
    </xf>
    <xf numFmtId="21" fontId="20" fillId="2" borderId="20" xfId="2" applyNumberFormat="1" applyFont="1" applyBorder="1" applyAlignment="1" applyProtection="1">
      <alignment horizontal="left" vertical="top" wrapText="1"/>
    </xf>
    <xf numFmtId="166" fontId="0" fillId="8" borderId="7" xfId="1" applyNumberFormat="1" applyFont="1" applyFill="1" applyBorder="1" applyAlignment="1">
      <alignment horizontal="left"/>
    </xf>
    <xf numFmtId="166" fontId="0" fillId="8" borderId="13" xfId="1" applyNumberFormat="1" applyFont="1" applyFill="1" applyBorder="1" applyAlignment="1">
      <alignment horizontal="left"/>
    </xf>
    <xf numFmtId="166" fontId="0" fillId="8" borderId="8" xfId="1" applyNumberFormat="1" applyFont="1" applyFill="1" applyBorder="1" applyAlignment="1">
      <alignment horizontal="left"/>
    </xf>
    <xf numFmtId="21" fontId="20" fillId="2" borderId="5" xfId="2" applyNumberFormat="1" applyFont="1" applyBorder="1" applyAlignment="1" applyProtection="1">
      <alignment horizontal="left" vertical="top" wrapText="1"/>
    </xf>
    <xf numFmtId="0" fontId="0" fillId="7" borderId="5" xfId="0" applyFill="1" applyBorder="1"/>
    <xf numFmtId="0" fontId="0" fillId="7" borderId="6" xfId="0" applyFill="1" applyBorder="1"/>
    <xf numFmtId="0" fontId="2" fillId="0" borderId="0" xfId="0" applyFont="1" applyFill="1" applyBorder="1"/>
    <xf numFmtId="0" fontId="6" fillId="0" borderId="21"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left" vertical="top" wrapText="1"/>
    </xf>
    <xf numFmtId="0" fontId="0" fillId="0" borderId="0" xfId="0" applyFont="1" applyAlignment="1">
      <alignment horizontal="left" vertical="top" wrapText="1"/>
    </xf>
    <xf numFmtId="0" fontId="0" fillId="4" borderId="9" xfId="0" applyFont="1" applyFill="1" applyBorder="1" applyAlignment="1">
      <alignment horizontal="left"/>
    </xf>
    <xf numFmtId="0" fontId="0" fillId="4" borderId="10" xfId="0" applyFont="1" applyFill="1" applyBorder="1" applyAlignment="1">
      <alignment horizontal="left"/>
    </xf>
    <xf numFmtId="0" fontId="0" fillId="4" borderId="3" xfId="0" applyFill="1" applyBorder="1" applyAlignment="1">
      <alignment horizontal="center"/>
    </xf>
    <xf numFmtId="0" fontId="0" fillId="4" borderId="12" xfId="0" applyFill="1" applyBorder="1" applyAlignment="1">
      <alignment horizontal="center"/>
    </xf>
    <xf numFmtId="0" fontId="0" fillId="4" borderId="4" xfId="0" applyFill="1" applyBorder="1" applyAlignment="1">
      <alignment horizontal="center"/>
    </xf>
    <xf numFmtId="0" fontId="6" fillId="4" borderId="14" xfId="0" applyFont="1" applyFill="1" applyBorder="1" applyAlignment="1">
      <alignment horizontal="center" wrapText="1"/>
    </xf>
    <xf numFmtId="0" fontId="6" fillId="4" borderId="16" xfId="0" applyFont="1" applyFill="1" applyBorder="1" applyAlignment="1">
      <alignment horizontal="center" wrapText="1"/>
    </xf>
    <xf numFmtId="0" fontId="18" fillId="6" borderId="0" xfId="0" applyFont="1" applyFill="1" applyAlignment="1">
      <alignment horizontal="center"/>
    </xf>
    <xf numFmtId="0" fontId="6" fillId="4" borderId="4" xfId="0" applyNumberFormat="1" applyFont="1" applyFill="1" applyBorder="1" applyAlignment="1" applyProtection="1">
      <alignment horizontal="left" vertical="top" wrapText="1"/>
    </xf>
    <xf numFmtId="0" fontId="6" fillId="4" borderId="8" xfId="0" applyNumberFormat="1" applyFont="1" applyFill="1" applyBorder="1" applyAlignment="1" applyProtection="1">
      <alignment horizontal="left" vertical="top" wrapText="1"/>
    </xf>
  </cellXfs>
  <cellStyles count="6">
    <cellStyle name="Accent1" xfId="3" builtinId="29"/>
    <cellStyle name="Bad" xfId="2" builtinId="27"/>
    <cellStyle name="Comma" xfId="1" builtinId="3"/>
    <cellStyle name="Normal" xfId="0" builtinId="0"/>
    <cellStyle name="Normal 2" xfId="5"/>
    <cellStyle name="Percent" xfId="4" builtinId="5"/>
  </cellStyles>
  <dxfs count="0"/>
  <tableStyles count="0" defaultTableStyle="TableStyleMedium2" defaultPivotStyle="PivotStyleLight16"/>
  <colors>
    <mruColors>
      <color rgb="FFFFC7CE"/>
      <color rgb="FFEAC5C4"/>
      <color rgb="FFE3B0AF"/>
      <color rgb="FFE0A5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Minister's</a:t>
            </a:r>
            <a:r>
              <a:rPr lang="en-US" baseline="0"/>
              <a:t> Triathlon Finishing Times</a:t>
            </a:r>
            <a:endParaRPr lang="en-US"/>
          </a:p>
        </c:rich>
      </c:tx>
      <c:overlay val="0"/>
    </c:title>
    <c:autoTitleDeleted val="0"/>
    <c:plotArea>
      <c:layout/>
      <c:barChart>
        <c:barDir val="col"/>
        <c:grouping val="stacked"/>
        <c:varyColors val="0"/>
        <c:ser>
          <c:idx val="0"/>
          <c:order val="0"/>
          <c:tx>
            <c:strRef>
              <c:f>'Summary results'!$A$12</c:f>
              <c:strCache>
                <c:ptCount val="1"/>
                <c:pt idx="0">
                  <c:v>Min</c:v>
                </c:pt>
              </c:strCache>
            </c:strRef>
          </c:tx>
          <c:invertIfNegative val="0"/>
          <c:cat>
            <c:strRef>
              <c:f>'Summary results'!$B$11:$B$11</c:f>
              <c:strCache>
                <c:ptCount val="1"/>
                <c:pt idx="0">
                  <c:v>Results</c:v>
                </c:pt>
              </c:strCache>
            </c:strRef>
          </c:cat>
          <c:val>
            <c:numRef>
              <c:f>'Summary results'!$B$12:$B$12</c:f>
              <c:numCache>
                <c:formatCode>hh:mm:ss;@</c:formatCode>
                <c:ptCount val="1"/>
                <c:pt idx="0">
                  <c:v>0.10025114420625515</c:v>
                </c:pt>
              </c:numCache>
            </c:numRef>
          </c:val>
        </c:ser>
        <c:ser>
          <c:idx val="1"/>
          <c:order val="1"/>
          <c:tx>
            <c:strRef>
              <c:f>'Summary results'!$A$13</c:f>
              <c:strCache>
                <c:ptCount val="1"/>
                <c:pt idx="0">
                  <c:v>Quartile 1</c:v>
                </c:pt>
              </c:strCache>
            </c:strRef>
          </c:tx>
          <c:invertIfNegative val="0"/>
          <c:cat>
            <c:strRef>
              <c:f>'Summary results'!$B$11:$B$11</c:f>
              <c:strCache>
                <c:ptCount val="1"/>
                <c:pt idx="0">
                  <c:v>Results</c:v>
                </c:pt>
              </c:strCache>
            </c:strRef>
          </c:cat>
          <c:val>
            <c:numRef>
              <c:f>'Summary results'!$B$13:$B$13</c:f>
              <c:numCache>
                <c:formatCode>hh:mm:ss;@</c:formatCode>
                <c:ptCount val="1"/>
                <c:pt idx="0">
                  <c:v>7.7654033287174046E-3</c:v>
                </c:pt>
              </c:numCache>
            </c:numRef>
          </c:val>
        </c:ser>
        <c:ser>
          <c:idx val="2"/>
          <c:order val="2"/>
          <c:tx>
            <c:strRef>
              <c:f>'Summary results'!$A$14</c:f>
              <c:strCache>
                <c:ptCount val="1"/>
                <c:pt idx="0">
                  <c:v>Mean</c:v>
                </c:pt>
              </c:strCache>
            </c:strRef>
          </c:tx>
          <c:invertIfNegative val="0"/>
          <c:cat>
            <c:strRef>
              <c:f>'Summary results'!$B$11:$B$11</c:f>
              <c:strCache>
                <c:ptCount val="1"/>
                <c:pt idx="0">
                  <c:v>Results</c:v>
                </c:pt>
              </c:strCache>
            </c:strRef>
          </c:cat>
          <c:val>
            <c:numRef>
              <c:f>'Summary results'!$B$14:$B$14</c:f>
              <c:numCache>
                <c:formatCode>hh:mm:ss;@</c:formatCode>
                <c:ptCount val="1"/>
                <c:pt idx="0">
                  <c:v>3.9708971388950492E-3</c:v>
                </c:pt>
              </c:numCache>
            </c:numRef>
          </c:val>
        </c:ser>
        <c:ser>
          <c:idx val="3"/>
          <c:order val="3"/>
          <c:tx>
            <c:strRef>
              <c:f>'Summary results'!$A$15</c:f>
              <c:strCache>
                <c:ptCount val="1"/>
                <c:pt idx="0">
                  <c:v>Quartile 3</c:v>
                </c:pt>
              </c:strCache>
            </c:strRef>
          </c:tx>
          <c:invertIfNegative val="0"/>
          <c:cat>
            <c:strRef>
              <c:f>'Summary results'!$B$11:$B$11</c:f>
              <c:strCache>
                <c:ptCount val="1"/>
                <c:pt idx="0">
                  <c:v>Results</c:v>
                </c:pt>
              </c:strCache>
            </c:strRef>
          </c:cat>
          <c:val>
            <c:numRef>
              <c:f>'Summary results'!$B$15:$B$15</c:f>
              <c:numCache>
                <c:formatCode>hh:mm:ss;@</c:formatCode>
                <c:ptCount val="1"/>
                <c:pt idx="0">
                  <c:v>3.5675948456678902E-3</c:v>
                </c:pt>
              </c:numCache>
            </c:numRef>
          </c:val>
        </c:ser>
        <c:ser>
          <c:idx val="4"/>
          <c:order val="4"/>
          <c:tx>
            <c:strRef>
              <c:f>'Summary results'!$A$16</c:f>
              <c:strCache>
                <c:ptCount val="1"/>
                <c:pt idx="0">
                  <c:v>Max</c:v>
                </c:pt>
              </c:strCache>
            </c:strRef>
          </c:tx>
          <c:invertIfNegative val="0"/>
          <c:cat>
            <c:strRef>
              <c:f>'Summary results'!$B$11:$B$11</c:f>
              <c:strCache>
                <c:ptCount val="1"/>
                <c:pt idx="0">
                  <c:v>Results</c:v>
                </c:pt>
              </c:strCache>
            </c:strRef>
          </c:cat>
          <c:val>
            <c:numRef>
              <c:f>'Summary results'!$B$16:$B$16</c:f>
              <c:numCache>
                <c:formatCode>hh:mm:ss;@</c:formatCode>
                <c:ptCount val="1"/>
                <c:pt idx="0">
                  <c:v>8.6989586247293305E-3</c:v>
                </c:pt>
              </c:numCache>
            </c:numRef>
          </c:val>
        </c:ser>
        <c:dLbls>
          <c:showLegendKey val="0"/>
          <c:showVal val="0"/>
          <c:showCatName val="0"/>
          <c:showSerName val="0"/>
          <c:showPercent val="0"/>
          <c:showBubbleSize val="0"/>
        </c:dLbls>
        <c:gapWidth val="150"/>
        <c:overlap val="100"/>
        <c:axId val="108168704"/>
        <c:axId val="108267392"/>
      </c:barChart>
      <c:catAx>
        <c:axId val="108168704"/>
        <c:scaling>
          <c:orientation val="minMax"/>
        </c:scaling>
        <c:delete val="0"/>
        <c:axPos val="b"/>
        <c:numFmt formatCode="General" sourceLinked="0"/>
        <c:majorTickMark val="out"/>
        <c:minorTickMark val="none"/>
        <c:tickLblPos val="nextTo"/>
        <c:crossAx val="108267392"/>
        <c:crosses val="autoZero"/>
        <c:auto val="1"/>
        <c:lblAlgn val="ctr"/>
        <c:lblOffset val="100"/>
        <c:noMultiLvlLbl val="0"/>
      </c:catAx>
      <c:valAx>
        <c:axId val="108267392"/>
        <c:scaling>
          <c:orientation val="minMax"/>
          <c:min val="8.3333330000000011E-2"/>
        </c:scaling>
        <c:delete val="0"/>
        <c:axPos val="l"/>
        <c:majorGridlines/>
        <c:title>
          <c:tx>
            <c:rich>
              <a:bodyPr rot="-5400000" vert="horz"/>
              <a:lstStyle/>
              <a:p>
                <a:pPr>
                  <a:defRPr/>
                </a:pPr>
                <a:r>
                  <a:rPr lang="en-US"/>
                  <a:t>Finishing</a:t>
                </a:r>
                <a:r>
                  <a:rPr lang="en-US" baseline="0"/>
                  <a:t> Times</a:t>
                </a:r>
                <a:endParaRPr lang="en-US"/>
              </a:p>
            </c:rich>
          </c:tx>
          <c:overlay val="0"/>
        </c:title>
        <c:numFmt formatCode="hh:mm:ss;@" sourceLinked="1"/>
        <c:majorTickMark val="out"/>
        <c:minorTickMark val="none"/>
        <c:tickLblPos val="nextTo"/>
        <c:crossAx val="108168704"/>
        <c:crosses val="autoZero"/>
        <c:crossBetween val="between"/>
        <c:majorUnit val="6.944444400000002E-3"/>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Cash</a:t>
            </a:r>
            <a:r>
              <a:rPr lang="en-US" baseline="0"/>
              <a:t> Flows</a:t>
            </a:r>
            <a:endParaRPr lang="en-US"/>
          </a:p>
        </c:rich>
      </c:tx>
      <c:overlay val="0"/>
    </c:title>
    <c:autoTitleDeleted val="0"/>
    <c:plotArea>
      <c:layout/>
      <c:barChart>
        <c:barDir val="col"/>
        <c:grouping val="stacked"/>
        <c:varyColors val="0"/>
        <c:ser>
          <c:idx val="0"/>
          <c:order val="0"/>
          <c:tx>
            <c:strRef>
              <c:f>'Summary results'!$A$24</c:f>
              <c:strCache>
                <c:ptCount val="1"/>
                <c:pt idx="0">
                  <c:v>Full Price Competitors</c:v>
                </c:pt>
              </c:strCache>
            </c:strRef>
          </c:tx>
          <c:invertIfNegative val="0"/>
          <c:cat>
            <c:strRef>
              <c:f>'Summary results'!$B$23:$D$23</c:f>
              <c:strCache>
                <c:ptCount val="3"/>
                <c:pt idx="0">
                  <c:v>Income</c:v>
                </c:pt>
                <c:pt idx="1">
                  <c:v>Outflow</c:v>
                </c:pt>
                <c:pt idx="2">
                  <c:v>Profit</c:v>
                </c:pt>
              </c:strCache>
            </c:strRef>
          </c:cat>
          <c:val>
            <c:numRef>
              <c:f>'Summary results'!$B$24:$D$24</c:f>
              <c:numCache>
                <c:formatCode>General</c:formatCode>
                <c:ptCount val="3"/>
                <c:pt idx="0">
                  <c:v>1000</c:v>
                </c:pt>
              </c:numCache>
            </c:numRef>
          </c:val>
        </c:ser>
        <c:ser>
          <c:idx val="1"/>
          <c:order val="1"/>
          <c:tx>
            <c:strRef>
              <c:f>'Summary results'!$A$25</c:f>
              <c:strCache>
                <c:ptCount val="1"/>
                <c:pt idx="0">
                  <c:v>Dicounted Competitors</c:v>
                </c:pt>
              </c:strCache>
            </c:strRef>
          </c:tx>
          <c:invertIfNegative val="0"/>
          <c:cat>
            <c:strRef>
              <c:f>'Summary results'!$B$23:$D$23</c:f>
              <c:strCache>
                <c:ptCount val="3"/>
                <c:pt idx="0">
                  <c:v>Income</c:v>
                </c:pt>
                <c:pt idx="1">
                  <c:v>Outflow</c:v>
                </c:pt>
                <c:pt idx="2">
                  <c:v>Profit</c:v>
                </c:pt>
              </c:strCache>
            </c:strRef>
          </c:cat>
          <c:val>
            <c:numRef>
              <c:f>'Summary results'!$B$25:$D$25</c:f>
              <c:numCache>
                <c:formatCode>General</c:formatCode>
                <c:ptCount val="3"/>
                <c:pt idx="0">
                  <c:v>375</c:v>
                </c:pt>
              </c:numCache>
            </c:numRef>
          </c:val>
        </c:ser>
        <c:ser>
          <c:idx val="2"/>
          <c:order val="2"/>
          <c:tx>
            <c:strRef>
              <c:f>'Summary results'!$A$26</c:f>
              <c:strCache>
                <c:ptCount val="1"/>
                <c:pt idx="0">
                  <c:v>Fixed Expenses</c:v>
                </c:pt>
              </c:strCache>
            </c:strRef>
          </c:tx>
          <c:invertIfNegative val="0"/>
          <c:cat>
            <c:strRef>
              <c:f>'Summary results'!$B$23:$D$23</c:f>
              <c:strCache>
                <c:ptCount val="3"/>
                <c:pt idx="0">
                  <c:v>Income</c:v>
                </c:pt>
                <c:pt idx="1">
                  <c:v>Outflow</c:v>
                </c:pt>
                <c:pt idx="2">
                  <c:v>Profit</c:v>
                </c:pt>
              </c:strCache>
            </c:strRef>
          </c:cat>
          <c:val>
            <c:numRef>
              <c:f>'Summary results'!$B$26:$D$26</c:f>
              <c:numCache>
                <c:formatCode>General</c:formatCode>
                <c:ptCount val="3"/>
                <c:pt idx="0">
                  <c:v>0</c:v>
                </c:pt>
                <c:pt idx="1">
                  <c:v>-150</c:v>
                </c:pt>
              </c:numCache>
            </c:numRef>
          </c:val>
        </c:ser>
        <c:ser>
          <c:idx val="3"/>
          <c:order val="3"/>
          <c:tx>
            <c:strRef>
              <c:f>'Summary results'!$A$27</c:f>
              <c:strCache>
                <c:ptCount val="1"/>
                <c:pt idx="0">
                  <c:v>Per Competitor Expenses</c:v>
                </c:pt>
              </c:strCache>
            </c:strRef>
          </c:tx>
          <c:invertIfNegative val="0"/>
          <c:cat>
            <c:strRef>
              <c:f>'Summary results'!$B$23:$D$23</c:f>
              <c:strCache>
                <c:ptCount val="3"/>
                <c:pt idx="0">
                  <c:v>Income</c:v>
                </c:pt>
                <c:pt idx="1">
                  <c:v>Outflow</c:v>
                </c:pt>
                <c:pt idx="2">
                  <c:v>Profit</c:v>
                </c:pt>
              </c:strCache>
            </c:strRef>
          </c:cat>
          <c:val>
            <c:numRef>
              <c:f>'Summary results'!$B$27:$D$27</c:f>
              <c:numCache>
                <c:formatCode>General</c:formatCode>
                <c:ptCount val="3"/>
                <c:pt idx="0">
                  <c:v>0</c:v>
                </c:pt>
                <c:pt idx="1">
                  <c:v>-60</c:v>
                </c:pt>
              </c:numCache>
            </c:numRef>
          </c:val>
        </c:ser>
        <c:ser>
          <c:idx val="4"/>
          <c:order val="4"/>
          <c:tx>
            <c:strRef>
              <c:f>'Summary results'!$A$28</c:f>
              <c:strCache>
                <c:ptCount val="1"/>
                <c:pt idx="0">
                  <c:v>Prize Money</c:v>
                </c:pt>
              </c:strCache>
            </c:strRef>
          </c:tx>
          <c:invertIfNegative val="0"/>
          <c:cat>
            <c:strRef>
              <c:f>'Summary results'!$B$23:$D$23</c:f>
              <c:strCache>
                <c:ptCount val="3"/>
                <c:pt idx="0">
                  <c:v>Income</c:v>
                </c:pt>
                <c:pt idx="1">
                  <c:v>Outflow</c:v>
                </c:pt>
                <c:pt idx="2">
                  <c:v>Profit</c:v>
                </c:pt>
              </c:strCache>
            </c:strRef>
          </c:cat>
          <c:val>
            <c:numRef>
              <c:f>'Summary results'!$B$28:$D$28</c:f>
              <c:numCache>
                <c:formatCode>General</c:formatCode>
                <c:ptCount val="3"/>
                <c:pt idx="0">
                  <c:v>0</c:v>
                </c:pt>
                <c:pt idx="1">
                  <c:v>-1022.0006934010937</c:v>
                </c:pt>
              </c:numCache>
            </c:numRef>
          </c:val>
        </c:ser>
        <c:ser>
          <c:idx val="5"/>
          <c:order val="5"/>
          <c:tx>
            <c:strRef>
              <c:f>'Summary results'!$A$29</c:f>
              <c:strCache>
                <c:ptCount val="1"/>
                <c:pt idx="0">
                  <c:v>Profit</c:v>
                </c:pt>
              </c:strCache>
            </c:strRef>
          </c:tx>
          <c:invertIfNegative val="0"/>
          <c:cat>
            <c:strRef>
              <c:f>'Summary results'!$B$23:$D$23</c:f>
              <c:strCache>
                <c:ptCount val="3"/>
                <c:pt idx="0">
                  <c:v>Income</c:v>
                </c:pt>
                <c:pt idx="1">
                  <c:v>Outflow</c:v>
                </c:pt>
                <c:pt idx="2">
                  <c:v>Profit</c:v>
                </c:pt>
              </c:strCache>
            </c:strRef>
          </c:cat>
          <c:val>
            <c:numRef>
              <c:f>'Summary results'!$B$29:$D$29</c:f>
              <c:numCache>
                <c:formatCode>General</c:formatCode>
                <c:ptCount val="3"/>
                <c:pt idx="2" formatCode="_(* #,##0.00_);_(* \(#,##0.00\);_(* &quot;-&quot;??_);_(@_)">
                  <c:v>142.99930659890629</c:v>
                </c:pt>
              </c:numCache>
            </c:numRef>
          </c:val>
        </c:ser>
        <c:dLbls>
          <c:showLegendKey val="0"/>
          <c:showVal val="0"/>
          <c:showCatName val="0"/>
          <c:showSerName val="0"/>
          <c:showPercent val="0"/>
          <c:showBubbleSize val="0"/>
        </c:dLbls>
        <c:gapWidth val="150"/>
        <c:overlap val="100"/>
        <c:axId val="69513600"/>
        <c:axId val="69515136"/>
      </c:barChart>
      <c:catAx>
        <c:axId val="69513600"/>
        <c:scaling>
          <c:orientation val="minMax"/>
        </c:scaling>
        <c:delete val="0"/>
        <c:axPos val="b"/>
        <c:numFmt formatCode="General" sourceLinked="0"/>
        <c:majorTickMark val="out"/>
        <c:minorTickMark val="none"/>
        <c:tickLblPos val="nextTo"/>
        <c:crossAx val="69515136"/>
        <c:crosses val="autoZero"/>
        <c:auto val="1"/>
        <c:lblAlgn val="ctr"/>
        <c:lblOffset val="100"/>
        <c:noMultiLvlLbl val="0"/>
      </c:catAx>
      <c:valAx>
        <c:axId val="69515136"/>
        <c:scaling>
          <c:orientation val="minMax"/>
        </c:scaling>
        <c:delete val="0"/>
        <c:axPos val="l"/>
        <c:majorGridlines/>
        <c:title>
          <c:tx>
            <c:rich>
              <a:bodyPr rot="-5400000" vert="horz"/>
              <a:lstStyle/>
              <a:p>
                <a:pPr>
                  <a:defRPr/>
                </a:pPr>
                <a:r>
                  <a:rPr lang="en-US"/>
                  <a:t>Amount</a:t>
                </a:r>
                <a:r>
                  <a:rPr lang="en-US" baseline="0"/>
                  <a:t> ($)</a:t>
                </a:r>
                <a:endParaRPr lang="en-US"/>
              </a:p>
            </c:rich>
          </c:tx>
          <c:overlay val="0"/>
        </c:title>
        <c:numFmt formatCode="General" sourceLinked="1"/>
        <c:majorTickMark val="out"/>
        <c:minorTickMark val="none"/>
        <c:tickLblPos val="nextTo"/>
        <c:crossAx val="69513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190500</xdr:colOff>
      <xdr:row>0</xdr:row>
      <xdr:rowOff>47624</xdr:rowOff>
    </xdr:from>
    <xdr:to>
      <xdr:col>15</xdr:col>
      <xdr:colOff>0</xdr:colOff>
      <xdr:row>23</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123825</xdr:colOff>
      <xdr:row>25</xdr:row>
      <xdr:rowOff>33337</xdr:rowOff>
    </xdr:from>
    <xdr:to>
      <xdr:col>15</xdr:col>
      <xdr:colOff>100015</xdr:colOff>
      <xdr:row>47</xdr:row>
      <xdr:rowOff>114301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9"/>
  <sheetViews>
    <sheetView workbookViewId="0">
      <selection activeCell="A35" sqref="A35"/>
    </sheetView>
  </sheetViews>
  <sheetFormatPr defaultRowHeight="12.75" x14ac:dyDescent="0.2"/>
  <cols>
    <col min="1" max="1" width="25.140625" style="1" bestFit="1" customWidth="1"/>
    <col min="2" max="8" width="11.7109375" style="1" customWidth="1"/>
    <col min="9" max="16384" width="9.140625" style="1"/>
  </cols>
  <sheetData>
    <row r="1" spans="1:9" x14ac:dyDescent="0.2">
      <c r="A1" s="10" t="s">
        <v>147</v>
      </c>
    </row>
    <row r="2" spans="1:9" x14ac:dyDescent="0.2">
      <c r="E2" s="3"/>
    </row>
    <row r="3" spans="1:9" ht="25.5" x14ac:dyDescent="0.2">
      <c r="A3" s="149" t="s">
        <v>54</v>
      </c>
      <c r="B3" s="149" t="s">
        <v>55</v>
      </c>
      <c r="C3" s="149" t="s">
        <v>56</v>
      </c>
      <c r="D3" s="149" t="s">
        <v>142</v>
      </c>
      <c r="E3" s="149" t="s">
        <v>145</v>
      </c>
      <c r="F3" s="149" t="s">
        <v>143</v>
      </c>
      <c r="G3" s="149" t="s">
        <v>146</v>
      </c>
      <c r="H3" s="149" t="s">
        <v>144</v>
      </c>
    </row>
    <row r="4" spans="1:9" x14ac:dyDescent="0.2">
      <c r="A4" s="150" t="s">
        <v>3</v>
      </c>
      <c r="B4" s="150" t="s">
        <v>4</v>
      </c>
      <c r="C4" s="151">
        <v>4.6435185185185184E-2</v>
      </c>
      <c r="D4" s="151">
        <v>7.4189814814814813E-3</v>
      </c>
      <c r="E4" s="151">
        <v>9.6064814814814819E-4</v>
      </c>
      <c r="F4" s="151">
        <v>2.270833333333333E-2</v>
      </c>
      <c r="G4" s="151">
        <v>6.134259259259259E-4</v>
      </c>
      <c r="H4" s="151">
        <v>1.4733796296296297E-2</v>
      </c>
      <c r="I4" s="3"/>
    </row>
    <row r="5" spans="1:9" x14ac:dyDescent="0.2">
      <c r="A5" s="150" t="s">
        <v>5</v>
      </c>
      <c r="B5" s="150" t="s">
        <v>6</v>
      </c>
      <c r="C5" s="151">
        <v>4.6458333333333331E-2</v>
      </c>
      <c r="D5" s="151">
        <v>7.3611111111111108E-3</v>
      </c>
      <c r="E5" s="151">
        <v>7.6388888888888893E-4</v>
      </c>
      <c r="F5" s="151">
        <v>2.3240740740740742E-2</v>
      </c>
      <c r="G5" s="151">
        <v>6.5972222222222224E-4</v>
      </c>
      <c r="H5" s="151">
        <v>1.443287037037037E-2</v>
      </c>
      <c r="I5" s="3"/>
    </row>
    <row r="6" spans="1:9" x14ac:dyDescent="0.2">
      <c r="A6" s="150" t="s">
        <v>7</v>
      </c>
      <c r="B6" s="150" t="s">
        <v>8</v>
      </c>
      <c r="C6" s="151">
        <v>4.7696759259259258E-2</v>
      </c>
      <c r="D6" s="151">
        <v>7.6157407407407406E-3</v>
      </c>
      <c r="E6" s="151">
        <v>9.837962962962962E-4</v>
      </c>
      <c r="F6" s="151">
        <v>2.4178240740740736E-2</v>
      </c>
      <c r="G6" s="151">
        <v>5.5555555555555556E-4</v>
      </c>
      <c r="H6" s="151">
        <v>1.4363425925925925E-2</v>
      </c>
      <c r="I6" s="3"/>
    </row>
    <row r="7" spans="1:9" x14ac:dyDescent="0.2">
      <c r="A7" s="150" t="s">
        <v>10</v>
      </c>
      <c r="B7" s="150" t="s">
        <v>11</v>
      </c>
      <c r="C7" s="151">
        <v>4.7939814814814817E-2</v>
      </c>
      <c r="D7" s="151">
        <v>6.145833333333333E-3</v>
      </c>
      <c r="E7" s="151">
        <v>1.0879629629629629E-3</v>
      </c>
      <c r="F7" s="151">
        <v>2.5590277777777781E-2</v>
      </c>
      <c r="G7" s="151">
        <v>8.564814814814815E-4</v>
      </c>
      <c r="H7" s="151">
        <v>1.425925925925926E-2</v>
      </c>
      <c r="I7" s="3"/>
    </row>
    <row r="8" spans="1:9" x14ac:dyDescent="0.2">
      <c r="A8" s="150" t="s">
        <v>14</v>
      </c>
      <c r="B8" s="150" t="s">
        <v>15</v>
      </c>
      <c r="C8" s="151">
        <v>4.8402777777777781E-2</v>
      </c>
      <c r="D8" s="151">
        <v>7.037037037037037E-3</v>
      </c>
      <c r="E8" s="151">
        <v>1.0532407407407407E-3</v>
      </c>
      <c r="F8" s="151">
        <v>2.4988425925925928E-2</v>
      </c>
      <c r="G8" s="151">
        <v>9.1435185185185185E-4</v>
      </c>
      <c r="H8" s="151">
        <v>1.4409722222222223E-2</v>
      </c>
      <c r="I8" s="3"/>
    </row>
    <row r="9" spans="1:9" x14ac:dyDescent="0.2">
      <c r="A9" s="150" t="s">
        <v>16</v>
      </c>
      <c r="B9" s="150" t="s">
        <v>17</v>
      </c>
      <c r="C9" s="151">
        <v>4.8483796296296296E-2</v>
      </c>
      <c r="D9" s="151">
        <v>7.6851851851851855E-3</v>
      </c>
      <c r="E9" s="151">
        <v>9.3749999999999997E-4</v>
      </c>
      <c r="F9" s="151">
        <v>2.4513888888888891E-2</v>
      </c>
      <c r="G9" s="151">
        <v>6.3657407407407413E-4</v>
      </c>
      <c r="H9" s="151">
        <v>1.4710648148148148E-2</v>
      </c>
      <c r="I9" s="3"/>
    </row>
    <row r="10" spans="1:9" x14ac:dyDescent="0.2">
      <c r="A10" s="150" t="s">
        <v>2</v>
      </c>
      <c r="B10" s="150" t="s">
        <v>18</v>
      </c>
      <c r="C10" s="151">
        <v>4.9050925925925928E-2</v>
      </c>
      <c r="D10" s="151">
        <v>8.3564814814814821E-3</v>
      </c>
      <c r="E10" s="151">
        <v>8.9120370370370373E-4</v>
      </c>
      <c r="F10" s="151">
        <v>2.445601851851853E-2</v>
      </c>
      <c r="G10" s="151">
        <v>7.407407407407407E-4</v>
      </c>
      <c r="H10" s="151">
        <v>1.4606481481481481E-2</v>
      </c>
      <c r="I10" s="3"/>
    </row>
    <row r="11" spans="1:9" x14ac:dyDescent="0.2">
      <c r="A11" s="150" t="s">
        <v>19</v>
      </c>
      <c r="B11" s="150" t="s">
        <v>20</v>
      </c>
      <c r="C11" s="151">
        <v>4.9143518518518517E-2</v>
      </c>
      <c r="D11" s="151">
        <v>7.4884259259259262E-3</v>
      </c>
      <c r="E11" s="151">
        <v>0</v>
      </c>
      <c r="F11" s="151">
        <v>2.4803240740740737E-2</v>
      </c>
      <c r="G11" s="151">
        <v>6.5972222222222224E-4</v>
      </c>
      <c r="H11" s="151">
        <v>1.511574074074074E-2</v>
      </c>
      <c r="I11" s="3"/>
    </row>
    <row r="12" spans="1:9" x14ac:dyDescent="0.2">
      <c r="A12" s="150" t="s">
        <v>0</v>
      </c>
      <c r="B12" s="150" t="s">
        <v>21</v>
      </c>
      <c r="C12" s="151">
        <v>4.9224537037037039E-2</v>
      </c>
      <c r="D12" s="151">
        <v>8.9699074074074073E-3</v>
      </c>
      <c r="E12" s="151">
        <v>8.3333333333333339E-4</v>
      </c>
      <c r="F12" s="151">
        <v>2.5104166666666677E-2</v>
      </c>
      <c r="G12" s="151">
        <v>5.0925925925925921E-4</v>
      </c>
      <c r="H12" s="151">
        <v>1.380787037037037E-2</v>
      </c>
      <c r="I12" s="3"/>
    </row>
    <row r="13" spans="1:9" x14ac:dyDescent="0.2">
      <c r="A13" s="150" t="s">
        <v>13</v>
      </c>
      <c r="B13" s="150" t="s">
        <v>22</v>
      </c>
      <c r="C13" s="151">
        <v>4.9456018518518517E-2</v>
      </c>
      <c r="D13" s="151">
        <v>8.0902777777777778E-3</v>
      </c>
      <c r="E13" s="151">
        <v>2.1527777777777778E-3</v>
      </c>
      <c r="F13" s="151">
        <v>2.1689814814814821E-2</v>
      </c>
      <c r="G13" s="151">
        <v>1.4236111111111112E-3</v>
      </c>
      <c r="H13" s="151">
        <v>1.6099537037037037E-2</v>
      </c>
      <c r="I13" s="3"/>
    </row>
    <row r="14" spans="1:9" x14ac:dyDescent="0.2">
      <c r="A14" s="150" t="s">
        <v>23</v>
      </c>
      <c r="B14" s="150" t="s">
        <v>24</v>
      </c>
      <c r="C14" s="151">
        <v>4.9687500000000002E-2</v>
      </c>
      <c r="D14" s="151">
        <v>7.4652777777777781E-3</v>
      </c>
      <c r="E14" s="151">
        <v>1.0648148148148149E-3</v>
      </c>
      <c r="F14" s="151">
        <v>2.4768518518518523E-2</v>
      </c>
      <c r="G14" s="151">
        <v>6.9444444444444447E-4</v>
      </c>
      <c r="H14" s="151">
        <v>1.5694444444444445E-2</v>
      </c>
      <c r="I14" s="3"/>
    </row>
    <row r="15" spans="1:9" x14ac:dyDescent="0.2">
      <c r="A15" s="150" t="s">
        <v>10</v>
      </c>
      <c r="B15" s="150" t="s">
        <v>25</v>
      </c>
      <c r="C15" s="151">
        <v>0.05</v>
      </c>
      <c r="D15" s="151">
        <v>8.9004629629629625E-3</v>
      </c>
      <c r="E15" s="151">
        <v>9.3749999999999997E-4</v>
      </c>
      <c r="F15" s="151">
        <v>2.4548611111111118E-2</v>
      </c>
      <c r="G15" s="151">
        <v>6.9444444444444447E-4</v>
      </c>
      <c r="H15" s="151">
        <v>1.4918981481481481E-2</v>
      </c>
      <c r="I15" s="3"/>
    </row>
    <row r="16" spans="1:9" x14ac:dyDescent="0.2">
      <c r="A16" s="150" t="s">
        <v>26</v>
      </c>
      <c r="B16" s="150" t="s">
        <v>27</v>
      </c>
      <c r="C16" s="151">
        <v>5.0034722222222223E-2</v>
      </c>
      <c r="D16" s="151">
        <v>8.0555555555555554E-3</v>
      </c>
      <c r="E16" s="151">
        <v>7.5231481481481482E-4</v>
      </c>
      <c r="F16" s="151">
        <v>2.4652777777777773E-2</v>
      </c>
      <c r="G16" s="151">
        <v>7.1759259259259259E-4</v>
      </c>
      <c r="H16" s="151">
        <v>1.5856481481481482E-2</v>
      </c>
      <c r="I16" s="3"/>
    </row>
    <row r="17" spans="1:9" x14ac:dyDescent="0.2">
      <c r="A17" s="150" t="s">
        <v>16</v>
      </c>
      <c r="B17" s="150" t="s">
        <v>28</v>
      </c>
      <c r="C17" s="151">
        <v>3.6261574074074078E-2</v>
      </c>
      <c r="D17" s="151">
        <v>8.5995370370370375E-3</v>
      </c>
      <c r="E17" s="151">
        <v>1.4004629629629629E-3</v>
      </c>
      <c r="F17" s="151">
        <v>2.5590277777777781E-2</v>
      </c>
      <c r="G17" s="151">
        <v>6.7129629629629625E-4</v>
      </c>
      <c r="H17" s="151">
        <v>0</v>
      </c>
      <c r="I17" s="3"/>
    </row>
    <row r="18" spans="1:9" x14ac:dyDescent="0.2">
      <c r="A18" s="150" t="s">
        <v>29</v>
      </c>
      <c r="B18" s="150" t="s">
        <v>30</v>
      </c>
      <c r="C18" s="151">
        <v>5.0243055555555555E-2</v>
      </c>
      <c r="D18" s="151">
        <v>7.6157407407407406E-3</v>
      </c>
      <c r="E18" s="151">
        <v>8.2175925925925927E-4</v>
      </c>
      <c r="F18" s="151">
        <v>2.5416666666666664E-2</v>
      </c>
      <c r="G18" s="151">
        <v>7.7546296296296293E-4</v>
      </c>
      <c r="H18" s="151">
        <v>1.5613425925925926E-2</v>
      </c>
      <c r="I18" s="3"/>
    </row>
    <row r="19" spans="1:9" x14ac:dyDescent="0.2">
      <c r="A19" s="150" t="s">
        <v>1</v>
      </c>
      <c r="B19" s="150" t="s">
        <v>12</v>
      </c>
      <c r="C19" s="151">
        <v>5.0266203703703702E-2</v>
      </c>
      <c r="D19" s="151">
        <v>7.083333333333333E-3</v>
      </c>
      <c r="E19" s="151">
        <v>1.2152777777777778E-3</v>
      </c>
      <c r="F19" s="151">
        <v>2.6550925925925915E-2</v>
      </c>
      <c r="G19" s="151">
        <v>9.4907407407407408E-4</v>
      </c>
      <c r="H19" s="151">
        <v>1.4467592592592593E-2</v>
      </c>
      <c r="I19" s="3"/>
    </row>
    <row r="20" spans="1:9" x14ac:dyDescent="0.2">
      <c r="A20" s="150" t="s">
        <v>31</v>
      </c>
      <c r="B20" s="150" t="s">
        <v>32</v>
      </c>
      <c r="C20" s="151">
        <v>5.0393518518518518E-2</v>
      </c>
      <c r="D20" s="151">
        <v>7.8009259259259256E-3</v>
      </c>
      <c r="E20" s="151">
        <v>7.0601851851851847E-4</v>
      </c>
      <c r="F20" s="151">
        <v>2.5798611111111119E-2</v>
      </c>
      <c r="G20" s="151">
        <v>5.5555555555555556E-4</v>
      </c>
      <c r="H20" s="151">
        <v>1.5532407407407408E-2</v>
      </c>
      <c r="I20" s="3"/>
    </row>
    <row r="21" spans="1:9" x14ac:dyDescent="0.2">
      <c r="A21" s="150" t="s">
        <v>34</v>
      </c>
      <c r="B21" s="150" t="s">
        <v>35</v>
      </c>
      <c r="C21" s="151">
        <v>5.0706018518518518E-2</v>
      </c>
      <c r="D21" s="151">
        <v>7.6041666666666671E-3</v>
      </c>
      <c r="E21" s="151">
        <v>1.25E-3</v>
      </c>
      <c r="F21" s="151">
        <v>2.585648148148148E-2</v>
      </c>
      <c r="G21" s="151">
        <v>5.3240740740740744E-4</v>
      </c>
      <c r="H21" s="151">
        <v>1.5462962962962963E-2</v>
      </c>
      <c r="I21" s="3"/>
    </row>
    <row r="22" spans="1:9" x14ac:dyDescent="0.2">
      <c r="A22" s="150" t="s">
        <v>36</v>
      </c>
      <c r="B22" s="150" t="s">
        <v>37</v>
      </c>
      <c r="C22" s="151">
        <v>5.1168981481481482E-2</v>
      </c>
      <c r="D22" s="151">
        <v>9.9652777777777778E-3</v>
      </c>
      <c r="E22" s="151">
        <v>9.4907407407407408E-4</v>
      </c>
      <c r="F22" s="151">
        <v>2.4618055555555553E-2</v>
      </c>
      <c r="G22" s="151">
        <v>7.8703703703703705E-4</v>
      </c>
      <c r="H22" s="151">
        <v>1.4849537037037038E-2</v>
      </c>
      <c r="I22" s="3"/>
    </row>
    <row r="23" spans="1:9" x14ac:dyDescent="0.2">
      <c r="A23" s="150" t="s">
        <v>38</v>
      </c>
      <c r="B23" s="150" t="s">
        <v>39</v>
      </c>
      <c r="C23" s="151">
        <v>5.1331018518518519E-2</v>
      </c>
      <c r="D23" s="151">
        <v>9.0162037037037034E-3</v>
      </c>
      <c r="E23" s="151">
        <v>1.6435185185185185E-3</v>
      </c>
      <c r="F23" s="151">
        <v>2.6041666666666671E-2</v>
      </c>
      <c r="G23" s="151">
        <v>7.7546296296296293E-4</v>
      </c>
      <c r="H23" s="151">
        <v>1.3854166666666667E-2</v>
      </c>
      <c r="I23" s="3"/>
    </row>
    <row r="24" spans="1:9" x14ac:dyDescent="0.2">
      <c r="A24" s="217" t="s">
        <v>159</v>
      </c>
      <c r="B24" s="217" t="s">
        <v>154</v>
      </c>
      <c r="C24" s="151">
        <v>0</v>
      </c>
      <c r="D24" s="151">
        <v>0</v>
      </c>
      <c r="E24" s="151">
        <v>0</v>
      </c>
      <c r="F24" s="151">
        <v>0</v>
      </c>
      <c r="G24" s="151">
        <v>0</v>
      </c>
      <c r="H24" s="151">
        <v>0</v>
      </c>
      <c r="I24" s="3"/>
    </row>
    <row r="25" spans="1:9" x14ac:dyDescent="0.2">
      <c r="A25" s="150" t="s">
        <v>40</v>
      </c>
      <c r="B25" s="150" t="s">
        <v>41</v>
      </c>
      <c r="C25" s="151">
        <v>5.1712962962962961E-2</v>
      </c>
      <c r="D25" s="151">
        <v>9.0509259259259258E-3</v>
      </c>
      <c r="E25" s="151">
        <v>1.0879629629629629E-3</v>
      </c>
      <c r="F25" s="151">
        <v>2.5706018518518531E-2</v>
      </c>
      <c r="G25" s="151">
        <v>5.0925925925925921E-4</v>
      </c>
      <c r="H25" s="151">
        <v>1.5358796296296296E-2</v>
      </c>
      <c r="I25" s="3"/>
    </row>
    <row r="26" spans="1:9" x14ac:dyDescent="0.2">
      <c r="A26" s="150" t="s">
        <v>1</v>
      </c>
      <c r="B26" s="150" t="s">
        <v>43</v>
      </c>
      <c r="C26" s="151">
        <v>5.1712962962962961E-2</v>
      </c>
      <c r="D26" s="151">
        <v>8.7152777777777784E-3</v>
      </c>
      <c r="E26" s="151">
        <v>1.1111111111111111E-3</v>
      </c>
      <c r="F26" s="151">
        <v>2.4780092592592597E-2</v>
      </c>
      <c r="G26" s="151">
        <v>8.564814814814815E-4</v>
      </c>
      <c r="H26" s="151">
        <v>1.6250000000000001E-2</v>
      </c>
      <c r="I26" s="3"/>
    </row>
    <row r="27" spans="1:9" x14ac:dyDescent="0.2">
      <c r="A27" s="150" t="s">
        <v>1</v>
      </c>
      <c r="B27" s="150" t="s">
        <v>44</v>
      </c>
      <c r="C27" s="151">
        <v>5.2002314814814814E-2</v>
      </c>
      <c r="D27" s="151">
        <v>7.9745370370370369E-3</v>
      </c>
      <c r="E27" s="151">
        <v>1.25E-3</v>
      </c>
      <c r="F27" s="151">
        <v>2.6365740740740745E-2</v>
      </c>
      <c r="G27" s="151">
        <v>7.0601851851851847E-4</v>
      </c>
      <c r="H27" s="151">
        <v>1.5706018518518518E-2</v>
      </c>
      <c r="I27" s="3"/>
    </row>
    <row r="28" spans="1:9" x14ac:dyDescent="0.2">
      <c r="A28" s="150" t="s">
        <v>2</v>
      </c>
      <c r="B28" s="150" t="s">
        <v>45</v>
      </c>
      <c r="C28" s="151">
        <v>5.2013888888888887E-2</v>
      </c>
      <c r="D28" s="151">
        <v>7.6273148148148151E-3</v>
      </c>
      <c r="E28" s="151">
        <v>1.0995370370370371E-3</v>
      </c>
      <c r="F28" s="151">
        <v>2.6840277777777768E-2</v>
      </c>
      <c r="G28" s="151">
        <v>6.3657407407407413E-4</v>
      </c>
      <c r="H28" s="151">
        <v>1.5810185185185184E-2</v>
      </c>
      <c r="I28" s="3"/>
    </row>
    <row r="29" spans="1:9" x14ac:dyDescent="0.2">
      <c r="A29" s="150" t="s">
        <v>46</v>
      </c>
      <c r="B29" s="150" t="s">
        <v>47</v>
      </c>
      <c r="C29" s="151">
        <v>5.2037037037037034E-2</v>
      </c>
      <c r="D29" s="151">
        <v>1.0254629629629629E-2</v>
      </c>
      <c r="E29" s="151">
        <v>1.2962962962962963E-3</v>
      </c>
      <c r="F29" s="151">
        <v>2.4953703703703693E-2</v>
      </c>
      <c r="G29" s="151">
        <v>8.7962962962962962E-4</v>
      </c>
      <c r="H29" s="151">
        <v>1.4652777777777778E-2</v>
      </c>
      <c r="I29" s="3"/>
    </row>
    <row r="30" spans="1:9" x14ac:dyDescent="0.2">
      <c r="A30" s="150" t="s">
        <v>9</v>
      </c>
      <c r="B30" s="150" t="s">
        <v>48</v>
      </c>
      <c r="C30" s="151">
        <v>5.2048611111111108E-2</v>
      </c>
      <c r="D30" s="151">
        <v>8.611111111111111E-3</v>
      </c>
      <c r="E30" s="151">
        <v>1.1458333333333333E-3</v>
      </c>
      <c r="F30" s="151">
        <v>2.4722222222222215E-2</v>
      </c>
      <c r="G30" s="151">
        <v>4.2708333333333327E-2</v>
      </c>
      <c r="H30" s="151">
        <v>1.6527777777777777E-2</v>
      </c>
      <c r="I30" s="3"/>
    </row>
    <row r="31" spans="1:9" x14ac:dyDescent="0.2">
      <c r="A31" s="150" t="s">
        <v>42</v>
      </c>
      <c r="B31" s="150" t="s">
        <v>33</v>
      </c>
      <c r="C31" s="151">
        <v>5.2071759259259262E-2</v>
      </c>
      <c r="D31" s="151">
        <v>7.7314814814814815E-3</v>
      </c>
      <c r="E31" s="151">
        <v>1.2962962962962963E-3</v>
      </c>
      <c r="F31" s="151">
        <v>2.6643518518518525E-2</v>
      </c>
      <c r="G31" s="151">
        <v>6.5972222222222224E-4</v>
      </c>
      <c r="H31" s="151">
        <v>1.5740740740740739E-2</v>
      </c>
      <c r="I31" s="3"/>
    </row>
    <row r="32" spans="1:9" x14ac:dyDescent="0.2">
      <c r="A32" s="150" t="s">
        <v>40</v>
      </c>
      <c r="B32" s="150" t="s">
        <v>49</v>
      </c>
      <c r="C32" s="151">
        <v>5.2118055555555556E-2</v>
      </c>
      <c r="D32" s="151">
        <v>8.0787037037037043E-3</v>
      </c>
      <c r="E32" s="151">
        <v>1.2731481481481483E-3</v>
      </c>
      <c r="F32" s="151">
        <v>2.5891203703703708E-2</v>
      </c>
      <c r="G32" s="151">
        <v>6.4814814814814813E-4</v>
      </c>
      <c r="H32" s="151">
        <v>1.6226851851851853E-2</v>
      </c>
      <c r="I32" s="3"/>
    </row>
    <row r="33" spans="1:9" x14ac:dyDescent="0.2">
      <c r="A33" s="150" t="s">
        <v>50</v>
      </c>
      <c r="B33" s="150" t="s">
        <v>51</v>
      </c>
      <c r="C33" s="151">
        <v>5.2395833333333336E-2</v>
      </c>
      <c r="D33" s="151">
        <v>7.1759259259259259E-3</v>
      </c>
      <c r="E33" s="151">
        <v>8.6805555555555551E-4</v>
      </c>
      <c r="F33" s="151">
        <v>2.4907407407407406E-2</v>
      </c>
      <c r="G33" s="151">
        <v>6.9444444444444447E-4</v>
      </c>
      <c r="H33" s="151">
        <v>1.8749999999999999E-2</v>
      </c>
      <c r="I33" s="3"/>
    </row>
    <row r="34" spans="1:9" x14ac:dyDescent="0.2">
      <c r="A34" s="150" t="s">
        <v>52</v>
      </c>
      <c r="B34" s="150" t="s">
        <v>53</v>
      </c>
      <c r="C34" s="151">
        <v>5.2453703703703704E-2</v>
      </c>
      <c r="D34" s="151">
        <v>7.8472222222222224E-3</v>
      </c>
      <c r="E34" s="151">
        <v>1.5393518518518519E-3</v>
      </c>
      <c r="F34" s="151">
        <v>2.8148148148148144E-2</v>
      </c>
      <c r="G34" s="151">
        <v>8.564814814814815E-4</v>
      </c>
      <c r="H34" s="151">
        <v>1.40625E-2</v>
      </c>
      <c r="I34" s="3"/>
    </row>
    <row r="35" spans="1:9" s="11" customFormat="1" x14ac:dyDescent="0.2">
      <c r="A35" s="150" t="s">
        <v>160</v>
      </c>
      <c r="B35" s="150" t="s">
        <v>155</v>
      </c>
      <c r="C35" s="151" t="s">
        <v>158</v>
      </c>
      <c r="D35" s="151">
        <v>7.2106481481481475E-3</v>
      </c>
      <c r="E35" s="151">
        <v>1.3425925925925925E-3</v>
      </c>
      <c r="F35" s="151" t="s">
        <v>158</v>
      </c>
      <c r="G35" s="151" t="s">
        <v>158</v>
      </c>
      <c r="H35" s="151" t="s">
        <v>158</v>
      </c>
    </row>
    <row r="36" spans="1:9" s="11" customFormat="1" x14ac:dyDescent="0.2">
      <c r="A36" s="85"/>
      <c r="B36" s="85"/>
      <c r="C36" s="38"/>
      <c r="D36" s="38"/>
      <c r="E36" s="38"/>
      <c r="F36" s="38"/>
      <c r="G36" s="38"/>
      <c r="H36" s="38"/>
    </row>
    <row r="37" spans="1:9" s="11" customFormat="1" ht="22.5" customHeight="1" x14ac:dyDescent="0.2">
      <c r="A37" s="204" t="s">
        <v>86</v>
      </c>
      <c r="B37" s="218" t="s">
        <v>137</v>
      </c>
      <c r="C37" s="218"/>
      <c r="D37" s="218"/>
      <c r="E37" s="218"/>
      <c r="F37" s="218"/>
      <c r="G37" s="218"/>
      <c r="H37" s="218"/>
    </row>
    <row r="38" spans="1:9" s="11" customFormat="1" x14ac:dyDescent="0.2">
      <c r="A38" s="12"/>
      <c r="B38" s="12"/>
      <c r="C38" s="13"/>
      <c r="D38" s="13"/>
      <c r="E38" s="13"/>
      <c r="F38" s="13"/>
      <c r="G38" s="13"/>
      <c r="H38" s="13"/>
    </row>
    <row r="39" spans="1:9" s="11" customFormat="1" x14ac:dyDescent="0.2">
      <c r="A39" s="12"/>
      <c r="B39" s="12"/>
      <c r="C39" s="13"/>
      <c r="D39" s="13"/>
      <c r="E39" s="13"/>
      <c r="F39" s="13"/>
      <c r="G39" s="13"/>
      <c r="H39" s="13"/>
    </row>
    <row r="40" spans="1:9" s="11" customFormat="1" x14ac:dyDescent="0.2">
      <c r="A40" s="12"/>
      <c r="B40" s="12"/>
      <c r="C40" s="13"/>
      <c r="D40" s="13"/>
      <c r="E40" s="13"/>
      <c r="F40" s="13"/>
      <c r="G40" s="13"/>
      <c r="H40" s="13"/>
    </row>
    <row r="41" spans="1:9" s="11" customFormat="1" x14ac:dyDescent="0.2">
      <c r="A41" s="12"/>
      <c r="B41" s="12"/>
      <c r="C41" s="13"/>
      <c r="D41" s="13"/>
      <c r="E41" s="13"/>
      <c r="F41" s="13"/>
      <c r="G41" s="13"/>
      <c r="H41" s="13"/>
    </row>
    <row r="42" spans="1:9" s="11" customFormat="1" x14ac:dyDescent="0.2">
      <c r="A42" s="12"/>
      <c r="B42" s="12"/>
      <c r="C42" s="13"/>
      <c r="D42" s="13"/>
      <c r="E42" s="13"/>
      <c r="F42" s="13"/>
      <c r="G42" s="13"/>
      <c r="H42" s="13"/>
    </row>
    <row r="43" spans="1:9" s="11" customFormat="1" x14ac:dyDescent="0.2">
      <c r="A43" s="12"/>
      <c r="B43" s="12"/>
      <c r="C43" s="13"/>
      <c r="D43" s="13"/>
      <c r="E43" s="13"/>
      <c r="F43" s="13"/>
      <c r="G43" s="13"/>
      <c r="H43" s="13"/>
    </row>
    <row r="44" spans="1:9" s="11" customFormat="1" x14ac:dyDescent="0.2">
      <c r="A44" s="12"/>
      <c r="B44" s="12"/>
      <c r="C44" s="13"/>
      <c r="D44" s="13"/>
      <c r="E44" s="13"/>
      <c r="F44" s="13"/>
      <c r="G44" s="13"/>
      <c r="H44" s="13"/>
    </row>
    <row r="45" spans="1:9" s="11" customFormat="1" x14ac:dyDescent="0.2">
      <c r="A45" s="12"/>
      <c r="B45" s="12"/>
      <c r="C45" s="13"/>
      <c r="D45" s="13"/>
      <c r="E45" s="13"/>
      <c r="F45" s="13"/>
      <c r="G45" s="13"/>
      <c r="H45" s="13"/>
    </row>
    <row r="46" spans="1:9" s="11" customFormat="1" x14ac:dyDescent="0.2">
      <c r="A46" s="12"/>
      <c r="B46" s="12"/>
      <c r="C46" s="13"/>
      <c r="D46" s="13"/>
      <c r="E46" s="13"/>
      <c r="F46" s="13"/>
      <c r="G46" s="13"/>
      <c r="H46" s="13"/>
    </row>
    <row r="47" spans="1:9" s="11" customFormat="1" x14ac:dyDescent="0.2">
      <c r="A47" s="12"/>
      <c r="B47" s="12"/>
      <c r="C47" s="13"/>
      <c r="D47" s="13"/>
      <c r="E47" s="13"/>
      <c r="F47" s="13"/>
      <c r="G47" s="13"/>
      <c r="H47" s="13"/>
    </row>
    <row r="48" spans="1:9" s="11" customFormat="1" x14ac:dyDescent="0.2">
      <c r="A48" s="12"/>
      <c r="B48" s="12"/>
      <c r="C48" s="13"/>
      <c r="D48" s="13"/>
      <c r="E48" s="13"/>
      <c r="F48" s="13"/>
      <c r="G48" s="13"/>
      <c r="H48" s="13"/>
    </row>
    <row r="49" spans="1:8" s="11" customFormat="1" x14ac:dyDescent="0.2">
      <c r="A49" s="12"/>
      <c r="B49" s="12"/>
      <c r="C49" s="13"/>
      <c r="D49" s="13"/>
      <c r="E49" s="13"/>
      <c r="F49" s="13"/>
      <c r="G49" s="13"/>
      <c r="H49" s="13"/>
    </row>
    <row r="50" spans="1:8" s="11" customFormat="1" x14ac:dyDescent="0.2">
      <c r="A50" s="12"/>
      <c r="B50" s="12"/>
      <c r="C50" s="13"/>
      <c r="D50" s="13"/>
      <c r="E50" s="13"/>
      <c r="F50" s="13"/>
      <c r="G50" s="13"/>
      <c r="H50" s="13"/>
    </row>
    <row r="51" spans="1:8" s="11" customFormat="1" x14ac:dyDescent="0.2">
      <c r="A51" s="12"/>
      <c r="B51" s="12"/>
      <c r="C51" s="13"/>
      <c r="D51" s="13"/>
      <c r="E51" s="13"/>
      <c r="F51" s="13"/>
      <c r="G51" s="13"/>
      <c r="H51" s="13"/>
    </row>
    <row r="52" spans="1:8" s="11" customFormat="1" x14ac:dyDescent="0.2">
      <c r="A52" s="12"/>
      <c r="B52" s="12"/>
      <c r="C52" s="13"/>
      <c r="D52" s="13"/>
      <c r="E52" s="13"/>
      <c r="F52" s="13"/>
      <c r="G52" s="13"/>
      <c r="H52" s="13"/>
    </row>
    <row r="53" spans="1:8" s="11" customFormat="1" x14ac:dyDescent="0.2">
      <c r="A53" s="12"/>
      <c r="B53" s="12"/>
      <c r="C53" s="13"/>
      <c r="D53" s="13"/>
      <c r="E53" s="13"/>
      <c r="F53" s="13"/>
      <c r="G53" s="13"/>
      <c r="H53" s="13"/>
    </row>
    <row r="54" spans="1:8" s="11" customFormat="1" x14ac:dyDescent="0.2">
      <c r="A54" s="12"/>
      <c r="B54" s="12"/>
      <c r="C54" s="13"/>
      <c r="D54" s="13"/>
      <c r="E54" s="13"/>
      <c r="F54" s="13"/>
      <c r="G54" s="13"/>
      <c r="H54" s="13"/>
    </row>
    <row r="55" spans="1:8" s="11" customFormat="1" x14ac:dyDescent="0.2">
      <c r="A55" s="12"/>
      <c r="B55" s="12"/>
      <c r="C55" s="13"/>
      <c r="D55" s="13"/>
      <c r="E55" s="13"/>
      <c r="F55" s="13"/>
      <c r="G55" s="13"/>
      <c r="H55" s="13"/>
    </row>
    <row r="56" spans="1:8" s="11" customFormat="1" x14ac:dyDescent="0.2">
      <c r="A56" s="12"/>
      <c r="B56" s="12"/>
      <c r="C56" s="13"/>
      <c r="D56" s="13"/>
      <c r="E56" s="13"/>
      <c r="F56" s="13"/>
      <c r="G56" s="13"/>
      <c r="H56" s="13"/>
    </row>
    <row r="57" spans="1:8" s="11" customFormat="1" x14ac:dyDescent="0.2">
      <c r="A57" s="12"/>
      <c r="B57" s="12"/>
      <c r="C57" s="13"/>
      <c r="D57" s="13"/>
      <c r="E57" s="13"/>
      <c r="F57" s="13"/>
      <c r="G57" s="13"/>
      <c r="H57" s="13"/>
    </row>
    <row r="58" spans="1:8" s="11" customFormat="1" x14ac:dyDescent="0.2">
      <c r="A58" s="12"/>
      <c r="B58" s="12"/>
      <c r="C58" s="13"/>
      <c r="D58" s="13"/>
      <c r="E58" s="13"/>
      <c r="F58" s="13"/>
      <c r="G58" s="13"/>
      <c r="H58" s="13"/>
    </row>
    <row r="59" spans="1:8" s="11" customFormat="1" x14ac:dyDescent="0.2">
      <c r="A59" s="12"/>
      <c r="B59" s="12"/>
      <c r="C59" s="13"/>
      <c r="D59" s="13"/>
      <c r="E59" s="13"/>
      <c r="F59" s="13"/>
      <c r="G59" s="13"/>
      <c r="H59" s="13"/>
    </row>
    <row r="60" spans="1:8" s="11" customFormat="1" x14ac:dyDescent="0.2">
      <c r="A60" s="12"/>
      <c r="B60" s="12"/>
      <c r="C60" s="13"/>
      <c r="D60" s="13"/>
      <c r="E60" s="13"/>
      <c r="F60" s="13"/>
      <c r="G60" s="13"/>
      <c r="H60" s="13"/>
    </row>
    <row r="61" spans="1:8" s="11" customFormat="1" x14ac:dyDescent="0.2">
      <c r="A61" s="12"/>
      <c r="B61" s="12"/>
      <c r="C61" s="13"/>
      <c r="D61" s="13"/>
      <c r="E61" s="13"/>
      <c r="F61" s="13"/>
      <c r="G61" s="13"/>
      <c r="H61" s="13"/>
    </row>
    <row r="62" spans="1:8" s="11" customFormat="1" x14ac:dyDescent="0.2">
      <c r="A62" s="12"/>
      <c r="B62" s="12"/>
      <c r="C62" s="13"/>
      <c r="D62" s="13"/>
      <c r="E62" s="13"/>
      <c r="F62" s="13"/>
      <c r="G62" s="13"/>
      <c r="H62" s="13"/>
    </row>
    <row r="63" spans="1:8" s="11" customFormat="1" x14ac:dyDescent="0.2">
      <c r="A63" s="12"/>
      <c r="B63" s="12"/>
      <c r="C63" s="13"/>
      <c r="D63" s="13"/>
      <c r="E63" s="13"/>
      <c r="F63" s="13"/>
      <c r="G63" s="13"/>
      <c r="H63" s="13"/>
    </row>
    <row r="64" spans="1:8" s="11" customFormat="1" x14ac:dyDescent="0.2">
      <c r="A64" s="12"/>
      <c r="B64" s="12"/>
      <c r="C64" s="13"/>
      <c r="D64" s="13"/>
      <c r="E64" s="13"/>
      <c r="F64" s="13"/>
      <c r="G64" s="13"/>
      <c r="H64" s="13"/>
    </row>
    <row r="65" spans="1:8" s="11" customFormat="1" x14ac:dyDescent="0.2">
      <c r="A65" s="12"/>
      <c r="B65" s="12"/>
      <c r="C65" s="13"/>
      <c r="D65" s="13"/>
      <c r="E65" s="13"/>
      <c r="F65" s="13"/>
      <c r="G65" s="13"/>
      <c r="H65" s="13"/>
    </row>
    <row r="66" spans="1:8" s="11" customFormat="1" x14ac:dyDescent="0.2">
      <c r="A66" s="12"/>
      <c r="B66" s="12"/>
      <c r="C66" s="13"/>
      <c r="D66" s="13"/>
      <c r="E66" s="13"/>
      <c r="F66" s="13"/>
      <c r="G66" s="13"/>
      <c r="H66" s="13"/>
    </row>
    <row r="67" spans="1:8" s="11" customFormat="1" x14ac:dyDescent="0.2">
      <c r="A67" s="12"/>
      <c r="B67" s="12"/>
      <c r="C67" s="13"/>
      <c r="D67" s="13"/>
      <c r="E67" s="13"/>
      <c r="F67" s="13"/>
      <c r="G67" s="13"/>
      <c r="H67" s="13"/>
    </row>
    <row r="68" spans="1:8" s="11" customFormat="1" x14ac:dyDescent="0.2">
      <c r="A68" s="12"/>
      <c r="B68" s="12"/>
      <c r="C68" s="13"/>
      <c r="D68" s="13"/>
      <c r="E68" s="13"/>
      <c r="F68" s="13"/>
      <c r="G68" s="13"/>
      <c r="H68" s="13"/>
    </row>
    <row r="69" spans="1:8" s="11" customFormat="1" x14ac:dyDescent="0.2">
      <c r="A69" s="12"/>
      <c r="B69" s="12"/>
      <c r="C69" s="13"/>
      <c r="D69" s="13"/>
      <c r="E69" s="13"/>
      <c r="F69" s="13"/>
      <c r="G69" s="13"/>
      <c r="H69" s="13"/>
    </row>
    <row r="70" spans="1:8" s="11" customFormat="1" x14ac:dyDescent="0.2">
      <c r="A70" s="12"/>
      <c r="B70" s="12"/>
      <c r="C70" s="13"/>
      <c r="D70" s="13"/>
      <c r="E70" s="13"/>
      <c r="F70" s="13"/>
      <c r="G70" s="13"/>
      <c r="H70" s="13"/>
    </row>
    <row r="71" spans="1:8" s="11" customFormat="1" x14ac:dyDescent="0.2">
      <c r="A71" s="12"/>
      <c r="B71" s="12"/>
      <c r="C71" s="13"/>
      <c r="D71" s="13"/>
      <c r="E71" s="13"/>
      <c r="F71" s="13"/>
      <c r="G71" s="13"/>
      <c r="H71" s="13"/>
    </row>
    <row r="72" spans="1:8" s="11" customFormat="1" x14ac:dyDescent="0.2">
      <c r="A72" s="12"/>
      <c r="B72" s="12"/>
      <c r="C72" s="13"/>
      <c r="D72" s="13"/>
      <c r="E72" s="13"/>
      <c r="F72" s="13"/>
      <c r="G72" s="13"/>
      <c r="H72" s="13"/>
    </row>
    <row r="73" spans="1:8" s="11" customFormat="1" x14ac:dyDescent="0.2">
      <c r="A73" s="12"/>
      <c r="B73" s="12"/>
      <c r="C73" s="13"/>
      <c r="D73" s="13"/>
      <c r="E73" s="13"/>
      <c r="F73" s="13"/>
      <c r="G73" s="13"/>
      <c r="H73" s="13"/>
    </row>
    <row r="74" spans="1:8" s="11" customFormat="1" x14ac:dyDescent="0.2">
      <c r="A74" s="12"/>
      <c r="B74" s="12"/>
      <c r="C74" s="13"/>
      <c r="D74" s="13"/>
      <c r="E74" s="13"/>
      <c r="F74" s="13"/>
      <c r="G74" s="13"/>
      <c r="H74" s="13"/>
    </row>
    <row r="75" spans="1:8" s="11" customFormat="1" x14ac:dyDescent="0.2">
      <c r="A75" s="12"/>
      <c r="B75" s="12"/>
      <c r="C75" s="13"/>
      <c r="D75" s="13"/>
      <c r="E75" s="13"/>
      <c r="F75" s="13"/>
      <c r="G75" s="13"/>
      <c r="H75" s="13"/>
    </row>
    <row r="76" spans="1:8" s="11" customFormat="1" x14ac:dyDescent="0.2">
      <c r="A76" s="12"/>
      <c r="B76" s="12"/>
      <c r="C76" s="13"/>
      <c r="D76" s="13"/>
      <c r="E76" s="13"/>
      <c r="F76" s="13"/>
      <c r="G76" s="13"/>
      <c r="H76" s="13"/>
    </row>
    <row r="77" spans="1:8" s="11" customFormat="1" x14ac:dyDescent="0.2">
      <c r="A77" s="12"/>
      <c r="B77" s="12"/>
      <c r="C77" s="13"/>
      <c r="D77" s="13"/>
      <c r="E77" s="13"/>
      <c r="F77" s="13"/>
      <c r="G77" s="13"/>
      <c r="H77" s="13"/>
    </row>
    <row r="78" spans="1:8" s="11" customFormat="1" x14ac:dyDescent="0.2">
      <c r="A78" s="12"/>
      <c r="B78" s="12"/>
      <c r="C78" s="13"/>
      <c r="D78" s="13"/>
      <c r="E78" s="13"/>
      <c r="F78" s="13"/>
      <c r="G78" s="13"/>
      <c r="H78" s="13"/>
    </row>
    <row r="79" spans="1:8" s="11" customFormat="1" x14ac:dyDescent="0.2">
      <c r="A79" s="12"/>
      <c r="B79" s="12"/>
      <c r="C79" s="13"/>
      <c r="D79" s="13"/>
      <c r="E79" s="13"/>
      <c r="F79" s="13"/>
      <c r="G79" s="13"/>
      <c r="H79" s="13"/>
    </row>
    <row r="80" spans="1:8" s="11" customFormat="1" x14ac:dyDescent="0.2">
      <c r="A80" s="12"/>
      <c r="B80" s="12"/>
      <c r="C80" s="13"/>
      <c r="D80" s="13"/>
      <c r="E80" s="13"/>
      <c r="F80" s="13"/>
      <c r="G80" s="13"/>
      <c r="H80" s="13"/>
    </row>
    <row r="81" spans="1:8" s="11" customFormat="1" x14ac:dyDescent="0.2">
      <c r="A81" s="12"/>
      <c r="B81" s="12"/>
      <c r="C81" s="13"/>
      <c r="D81" s="13"/>
      <c r="E81" s="13"/>
      <c r="F81" s="13"/>
      <c r="G81" s="13"/>
      <c r="H81" s="13"/>
    </row>
    <row r="82" spans="1:8" s="11" customFormat="1" x14ac:dyDescent="0.2">
      <c r="A82" s="12"/>
      <c r="B82" s="12"/>
      <c r="C82" s="13"/>
      <c r="D82" s="13"/>
      <c r="E82" s="13"/>
      <c r="F82" s="13"/>
      <c r="G82" s="13"/>
      <c r="H82" s="13"/>
    </row>
    <row r="83" spans="1:8" s="11" customFormat="1" x14ac:dyDescent="0.2">
      <c r="A83" s="12"/>
      <c r="B83" s="12"/>
      <c r="C83" s="13"/>
      <c r="D83" s="13"/>
      <c r="E83" s="13"/>
      <c r="F83" s="13"/>
      <c r="G83" s="13"/>
      <c r="H83" s="13"/>
    </row>
    <row r="84" spans="1:8" s="11" customFormat="1" x14ac:dyDescent="0.2">
      <c r="A84" s="12"/>
      <c r="B84" s="12"/>
      <c r="C84" s="13"/>
      <c r="D84" s="13"/>
      <c r="E84" s="13"/>
      <c r="F84" s="13"/>
      <c r="G84" s="13"/>
      <c r="H84" s="13"/>
    </row>
    <row r="85" spans="1:8" s="11" customFormat="1" x14ac:dyDescent="0.2">
      <c r="A85" s="12"/>
      <c r="B85" s="12"/>
      <c r="C85" s="13"/>
      <c r="D85" s="13"/>
      <c r="E85" s="13"/>
      <c r="F85" s="13"/>
      <c r="G85" s="13"/>
      <c r="H85" s="13"/>
    </row>
    <row r="86" spans="1:8" s="11" customFormat="1" x14ac:dyDescent="0.2">
      <c r="A86" s="12"/>
      <c r="B86" s="12"/>
      <c r="C86" s="13"/>
      <c r="D86" s="13"/>
      <c r="E86" s="13"/>
      <c r="F86" s="13"/>
      <c r="G86" s="13"/>
      <c r="H86" s="13"/>
    </row>
    <row r="87" spans="1:8" s="11" customFormat="1" x14ac:dyDescent="0.2">
      <c r="A87" s="12"/>
      <c r="B87" s="12"/>
      <c r="C87" s="13"/>
      <c r="D87" s="13"/>
      <c r="E87" s="13"/>
      <c r="F87" s="13"/>
      <c r="G87" s="13"/>
      <c r="H87" s="13"/>
    </row>
    <row r="88" spans="1:8" s="11" customFormat="1" x14ac:dyDescent="0.2">
      <c r="A88" s="12"/>
      <c r="B88" s="12"/>
      <c r="C88" s="13"/>
      <c r="D88" s="13"/>
      <c r="E88" s="13"/>
      <c r="F88" s="13"/>
      <c r="G88" s="13"/>
      <c r="H88" s="13"/>
    </row>
    <row r="89" spans="1:8" s="11" customFormat="1" x14ac:dyDescent="0.2">
      <c r="A89" s="12"/>
      <c r="B89" s="12"/>
      <c r="C89" s="13"/>
      <c r="D89" s="13"/>
      <c r="E89" s="13"/>
      <c r="F89" s="13"/>
      <c r="G89" s="13"/>
      <c r="H89" s="13"/>
    </row>
    <row r="90" spans="1:8" s="11" customFormat="1" x14ac:dyDescent="0.2">
      <c r="A90" s="12"/>
      <c r="B90" s="12"/>
      <c r="C90" s="13"/>
      <c r="D90" s="13"/>
      <c r="E90" s="13"/>
      <c r="F90" s="13"/>
      <c r="G90" s="13"/>
      <c r="H90" s="13"/>
    </row>
    <row r="91" spans="1:8" s="11" customFormat="1" x14ac:dyDescent="0.2">
      <c r="A91" s="12"/>
      <c r="B91" s="12"/>
      <c r="C91" s="13"/>
      <c r="D91" s="13"/>
      <c r="E91" s="13"/>
      <c r="F91" s="13"/>
      <c r="G91" s="13"/>
      <c r="H91" s="13"/>
    </row>
    <row r="92" spans="1:8" s="11" customFormat="1" x14ac:dyDescent="0.2">
      <c r="A92" s="12"/>
      <c r="B92" s="12"/>
      <c r="C92" s="13"/>
      <c r="D92" s="13"/>
      <c r="E92" s="13"/>
      <c r="F92" s="13"/>
      <c r="G92" s="13"/>
      <c r="H92" s="13"/>
    </row>
    <row r="93" spans="1:8" s="11" customFormat="1" x14ac:dyDescent="0.2">
      <c r="A93" s="12"/>
      <c r="B93" s="12"/>
      <c r="C93" s="13"/>
      <c r="D93" s="13"/>
      <c r="E93" s="13"/>
      <c r="F93" s="13"/>
      <c r="G93" s="13"/>
      <c r="H93" s="13"/>
    </row>
    <row r="94" spans="1:8" s="11" customFormat="1" x14ac:dyDescent="0.2">
      <c r="A94" s="12"/>
      <c r="B94" s="12"/>
      <c r="C94" s="13"/>
      <c r="D94" s="13"/>
      <c r="E94" s="13"/>
      <c r="F94" s="13"/>
      <c r="G94" s="13"/>
      <c r="H94" s="13"/>
    </row>
    <row r="95" spans="1:8" s="11" customFormat="1" x14ac:dyDescent="0.2">
      <c r="A95" s="12"/>
      <c r="B95" s="12"/>
      <c r="C95" s="13"/>
      <c r="D95" s="13"/>
      <c r="E95" s="13"/>
      <c r="F95" s="13"/>
      <c r="G95" s="13"/>
      <c r="H95" s="13"/>
    </row>
    <row r="96" spans="1:8" s="11" customFormat="1" x14ac:dyDescent="0.2">
      <c r="A96" s="12"/>
      <c r="B96" s="12"/>
      <c r="C96" s="13"/>
      <c r="D96" s="13"/>
      <c r="E96" s="13"/>
      <c r="F96" s="13"/>
      <c r="G96" s="13"/>
      <c r="H96" s="13"/>
    </row>
    <row r="97" spans="1:8" s="11" customFormat="1" x14ac:dyDescent="0.2">
      <c r="A97" s="12"/>
      <c r="B97" s="12"/>
      <c r="C97" s="13"/>
      <c r="D97" s="13"/>
      <c r="E97" s="13"/>
      <c r="F97" s="13"/>
      <c r="G97" s="13"/>
      <c r="H97" s="13"/>
    </row>
    <row r="98" spans="1:8" s="11" customFormat="1" x14ac:dyDescent="0.2">
      <c r="A98" s="12"/>
      <c r="B98" s="12"/>
      <c r="C98" s="13"/>
      <c r="D98" s="13"/>
      <c r="E98" s="13"/>
      <c r="F98" s="13"/>
      <c r="G98" s="13"/>
      <c r="H98" s="13"/>
    </row>
    <row r="99" spans="1:8" s="11" customFormat="1" x14ac:dyDescent="0.2">
      <c r="A99" s="12"/>
      <c r="B99" s="12"/>
      <c r="C99" s="13"/>
      <c r="D99" s="13"/>
      <c r="E99" s="13"/>
      <c r="F99" s="13"/>
      <c r="G99" s="13"/>
      <c r="H99" s="13"/>
    </row>
    <row r="100" spans="1:8" s="11" customFormat="1" x14ac:dyDescent="0.2">
      <c r="A100" s="12"/>
      <c r="B100" s="12"/>
      <c r="C100" s="13"/>
      <c r="D100" s="13"/>
      <c r="E100" s="13"/>
      <c r="F100" s="13"/>
      <c r="G100" s="13"/>
      <c r="H100" s="13"/>
    </row>
    <row r="101" spans="1:8" s="11" customFormat="1" x14ac:dyDescent="0.2">
      <c r="A101" s="12"/>
      <c r="B101" s="12"/>
      <c r="C101" s="13"/>
      <c r="D101" s="13"/>
      <c r="E101" s="13"/>
      <c r="F101" s="13"/>
      <c r="G101" s="13"/>
      <c r="H101" s="13"/>
    </row>
    <row r="102" spans="1:8" s="11" customFormat="1" x14ac:dyDescent="0.2">
      <c r="A102" s="12"/>
      <c r="B102" s="12"/>
      <c r="C102" s="13"/>
      <c r="D102" s="13"/>
      <c r="E102" s="13"/>
      <c r="F102" s="13"/>
      <c r="G102" s="13"/>
      <c r="H102" s="13"/>
    </row>
    <row r="103" spans="1:8" s="11" customFormat="1" x14ac:dyDescent="0.2">
      <c r="A103" s="12"/>
      <c r="B103" s="12"/>
      <c r="C103" s="13"/>
      <c r="D103" s="13"/>
      <c r="E103" s="13"/>
      <c r="F103" s="13"/>
      <c r="G103" s="13"/>
      <c r="H103" s="13"/>
    </row>
    <row r="104" spans="1:8" s="11" customFormat="1" x14ac:dyDescent="0.2">
      <c r="A104" s="12"/>
      <c r="B104" s="12"/>
      <c r="C104" s="13"/>
      <c r="D104" s="13"/>
      <c r="E104" s="13"/>
      <c r="F104" s="13"/>
      <c r="G104" s="13"/>
      <c r="H104" s="13"/>
    </row>
    <row r="105" spans="1:8" s="11" customFormat="1" x14ac:dyDescent="0.2">
      <c r="A105" s="12"/>
      <c r="B105" s="12"/>
      <c r="C105" s="13"/>
      <c r="D105" s="13"/>
      <c r="E105" s="13"/>
      <c r="F105" s="13"/>
      <c r="G105" s="13"/>
      <c r="H105" s="13"/>
    </row>
    <row r="106" spans="1:8" s="11" customFormat="1" x14ac:dyDescent="0.2">
      <c r="A106" s="12"/>
      <c r="B106" s="12"/>
      <c r="C106" s="13"/>
      <c r="D106" s="13"/>
      <c r="E106" s="13"/>
      <c r="F106" s="13"/>
      <c r="G106" s="13"/>
      <c r="H106" s="13"/>
    </row>
    <row r="107" spans="1:8" s="11" customFormat="1" x14ac:dyDescent="0.2">
      <c r="A107" s="12"/>
      <c r="B107" s="12"/>
      <c r="C107" s="13"/>
      <c r="D107" s="13"/>
      <c r="E107" s="13"/>
      <c r="F107" s="13"/>
      <c r="G107" s="13"/>
      <c r="H107" s="13"/>
    </row>
    <row r="108" spans="1:8" s="11" customFormat="1" x14ac:dyDescent="0.2">
      <c r="A108" s="12"/>
      <c r="B108" s="12"/>
      <c r="C108" s="13"/>
      <c r="D108" s="13"/>
      <c r="E108" s="13"/>
      <c r="F108" s="13"/>
      <c r="G108" s="13"/>
      <c r="H108" s="13"/>
    </row>
    <row r="109" spans="1:8" s="11" customFormat="1" x14ac:dyDescent="0.2">
      <c r="A109" s="12"/>
      <c r="B109" s="12"/>
      <c r="C109" s="13"/>
      <c r="D109" s="13"/>
      <c r="E109" s="13"/>
      <c r="F109" s="13"/>
      <c r="G109" s="13"/>
      <c r="H109" s="13"/>
    </row>
    <row r="110" spans="1:8" s="11" customFormat="1" x14ac:dyDescent="0.2">
      <c r="A110" s="12"/>
      <c r="B110" s="12"/>
      <c r="C110" s="13"/>
      <c r="D110" s="13"/>
      <c r="E110" s="13"/>
      <c r="F110" s="13"/>
      <c r="G110" s="13"/>
      <c r="H110" s="13"/>
    </row>
    <row r="111" spans="1:8" s="11" customFormat="1" x14ac:dyDescent="0.2">
      <c r="A111" s="12"/>
      <c r="B111" s="12"/>
      <c r="C111" s="13"/>
      <c r="D111" s="13"/>
      <c r="E111" s="13"/>
      <c r="F111" s="13"/>
      <c r="G111" s="13"/>
      <c r="H111" s="13"/>
    </row>
    <row r="112" spans="1:8" s="11" customFormat="1" x14ac:dyDescent="0.2">
      <c r="A112" s="12"/>
      <c r="B112" s="12"/>
      <c r="C112" s="13"/>
      <c r="D112" s="13"/>
      <c r="E112" s="13"/>
      <c r="F112" s="13"/>
      <c r="G112" s="13"/>
      <c r="H112" s="13"/>
    </row>
    <row r="113" spans="1:8" s="11" customFormat="1" x14ac:dyDescent="0.2">
      <c r="A113" s="12"/>
      <c r="B113" s="12"/>
      <c r="C113" s="13"/>
      <c r="D113" s="13"/>
      <c r="E113" s="13"/>
      <c r="F113" s="13"/>
      <c r="G113" s="13"/>
      <c r="H113" s="13"/>
    </row>
    <row r="114" spans="1:8" s="11" customFormat="1" x14ac:dyDescent="0.2">
      <c r="A114" s="12"/>
      <c r="B114" s="12"/>
      <c r="C114" s="13"/>
      <c r="D114" s="13"/>
      <c r="E114" s="13"/>
      <c r="F114" s="13"/>
      <c r="G114" s="13"/>
      <c r="H114" s="13"/>
    </row>
    <row r="115" spans="1:8" s="11" customFormat="1" x14ac:dyDescent="0.2">
      <c r="A115" s="12"/>
      <c r="B115" s="12"/>
      <c r="C115" s="13"/>
      <c r="D115" s="13"/>
      <c r="E115" s="13"/>
      <c r="F115" s="13"/>
      <c r="G115" s="13"/>
      <c r="H115" s="13"/>
    </row>
    <row r="116" spans="1:8" s="11" customFormat="1" x14ac:dyDescent="0.2">
      <c r="A116" s="12"/>
      <c r="B116" s="12"/>
      <c r="C116" s="13"/>
      <c r="D116" s="13"/>
      <c r="E116" s="13"/>
      <c r="F116" s="13"/>
      <c r="G116" s="13"/>
      <c r="H116" s="13"/>
    </row>
    <row r="117" spans="1:8" s="11" customFormat="1" x14ac:dyDescent="0.2">
      <c r="A117" s="12"/>
      <c r="B117" s="12"/>
      <c r="C117" s="13"/>
      <c r="D117" s="13"/>
      <c r="E117" s="13"/>
      <c r="F117" s="13"/>
      <c r="G117" s="13"/>
      <c r="H117" s="13"/>
    </row>
    <row r="118" spans="1:8" s="11" customFormat="1" x14ac:dyDescent="0.2">
      <c r="A118" s="12"/>
      <c r="B118" s="12"/>
      <c r="C118" s="13"/>
      <c r="D118" s="13"/>
      <c r="E118" s="13"/>
      <c r="F118" s="13"/>
      <c r="G118" s="13"/>
      <c r="H118" s="13"/>
    </row>
    <row r="119" spans="1:8" s="11" customFormat="1" x14ac:dyDescent="0.2">
      <c r="A119" s="12"/>
      <c r="B119" s="12"/>
      <c r="C119" s="13"/>
      <c r="D119" s="13"/>
      <c r="E119" s="13"/>
      <c r="F119" s="13"/>
      <c r="G119" s="13"/>
      <c r="H119" s="13"/>
    </row>
    <row r="120" spans="1:8" s="11" customFormat="1" x14ac:dyDescent="0.2">
      <c r="A120" s="12"/>
      <c r="B120" s="12"/>
      <c r="C120" s="13"/>
      <c r="D120" s="13"/>
      <c r="E120" s="13"/>
      <c r="F120" s="13"/>
      <c r="G120" s="13"/>
      <c r="H120" s="13"/>
    </row>
    <row r="121" spans="1:8" s="11" customFormat="1" x14ac:dyDescent="0.2">
      <c r="A121" s="12"/>
      <c r="B121" s="12"/>
      <c r="C121" s="13"/>
      <c r="D121" s="13"/>
      <c r="E121" s="13"/>
      <c r="F121" s="13"/>
      <c r="G121" s="13"/>
      <c r="H121" s="13"/>
    </row>
    <row r="122" spans="1:8" s="11" customFormat="1" x14ac:dyDescent="0.2">
      <c r="A122" s="12"/>
      <c r="B122" s="12"/>
      <c r="C122" s="13"/>
      <c r="D122" s="13"/>
      <c r="E122" s="13"/>
      <c r="F122" s="13"/>
      <c r="G122" s="13"/>
      <c r="H122" s="13"/>
    </row>
    <row r="123" spans="1:8" s="11" customFormat="1" x14ac:dyDescent="0.2">
      <c r="A123" s="12"/>
      <c r="B123" s="12"/>
      <c r="C123" s="13"/>
      <c r="D123" s="13"/>
      <c r="E123" s="13"/>
      <c r="F123" s="13"/>
      <c r="G123" s="13"/>
      <c r="H123" s="13"/>
    </row>
    <row r="124" spans="1:8" s="11" customFormat="1" x14ac:dyDescent="0.2">
      <c r="A124" s="12"/>
      <c r="B124" s="12"/>
      <c r="C124" s="13"/>
      <c r="D124" s="13"/>
      <c r="E124" s="13"/>
      <c r="F124" s="13"/>
      <c r="G124" s="13"/>
      <c r="H124" s="13"/>
    </row>
    <row r="125" spans="1:8" s="11" customFormat="1" x14ac:dyDescent="0.2">
      <c r="A125" s="12"/>
      <c r="B125" s="12"/>
      <c r="C125" s="13"/>
      <c r="D125" s="13"/>
      <c r="E125" s="13"/>
      <c r="F125" s="13"/>
      <c r="G125" s="13"/>
      <c r="H125" s="13"/>
    </row>
    <row r="126" spans="1:8" s="11" customFormat="1" x14ac:dyDescent="0.2">
      <c r="A126" s="12"/>
      <c r="B126" s="12"/>
      <c r="C126" s="13"/>
      <c r="D126" s="13"/>
      <c r="E126" s="13"/>
      <c r="F126" s="13"/>
      <c r="G126" s="13"/>
      <c r="H126" s="13"/>
    </row>
    <row r="127" spans="1:8" s="11" customFormat="1" x14ac:dyDescent="0.2">
      <c r="A127" s="12"/>
      <c r="B127" s="12"/>
      <c r="C127" s="13"/>
      <c r="D127" s="13"/>
      <c r="E127" s="13"/>
      <c r="F127" s="13"/>
      <c r="G127" s="13"/>
      <c r="H127" s="13"/>
    </row>
    <row r="128" spans="1:8" s="11" customFormat="1" x14ac:dyDescent="0.2">
      <c r="A128" s="12"/>
      <c r="B128" s="12"/>
      <c r="C128" s="13"/>
      <c r="D128" s="13"/>
      <c r="E128" s="13"/>
      <c r="F128" s="13"/>
      <c r="G128" s="13"/>
      <c r="H128" s="13"/>
    </row>
    <row r="129" spans="1:8" s="11" customFormat="1" x14ac:dyDescent="0.2">
      <c r="A129" s="12"/>
      <c r="B129" s="12"/>
      <c r="C129" s="13"/>
      <c r="D129" s="13"/>
      <c r="E129" s="13"/>
      <c r="F129" s="13"/>
      <c r="G129" s="13"/>
      <c r="H129" s="13"/>
    </row>
    <row r="130" spans="1:8" s="11" customFormat="1" x14ac:dyDescent="0.2">
      <c r="A130" s="12"/>
      <c r="B130" s="12"/>
      <c r="C130" s="13"/>
      <c r="D130" s="13"/>
      <c r="E130" s="13"/>
      <c r="F130" s="13"/>
      <c r="G130" s="13"/>
      <c r="H130" s="13"/>
    </row>
    <row r="131" spans="1:8" s="11" customFormat="1" x14ac:dyDescent="0.2">
      <c r="A131" s="12"/>
      <c r="B131" s="12"/>
      <c r="C131" s="13"/>
      <c r="D131" s="13"/>
      <c r="E131" s="13"/>
      <c r="F131" s="13"/>
      <c r="G131" s="13"/>
      <c r="H131" s="13"/>
    </row>
    <row r="132" spans="1:8" s="11" customFormat="1" x14ac:dyDescent="0.2">
      <c r="A132" s="12"/>
      <c r="B132" s="12"/>
      <c r="C132" s="13"/>
      <c r="D132" s="13"/>
      <c r="E132" s="13"/>
      <c r="F132" s="13"/>
      <c r="G132" s="13"/>
      <c r="H132" s="13"/>
    </row>
    <row r="133" spans="1:8" s="11" customFormat="1" x14ac:dyDescent="0.2">
      <c r="A133" s="12"/>
      <c r="B133" s="12"/>
      <c r="C133" s="13"/>
      <c r="D133" s="13"/>
      <c r="E133" s="13"/>
      <c r="F133" s="13"/>
      <c r="G133" s="13"/>
      <c r="H133" s="13"/>
    </row>
    <row r="134" spans="1:8" s="11" customFormat="1" x14ac:dyDescent="0.2">
      <c r="A134" s="12"/>
      <c r="B134" s="12"/>
      <c r="C134" s="13"/>
      <c r="D134" s="13"/>
      <c r="E134" s="13"/>
      <c r="F134" s="13"/>
      <c r="G134" s="13"/>
      <c r="H134" s="13"/>
    </row>
    <row r="135" spans="1:8" s="11" customFormat="1" x14ac:dyDescent="0.2">
      <c r="A135" s="12"/>
      <c r="B135" s="12"/>
      <c r="C135" s="13"/>
      <c r="D135" s="13"/>
      <c r="E135" s="13"/>
      <c r="F135" s="13"/>
      <c r="G135" s="13"/>
      <c r="H135" s="13"/>
    </row>
    <row r="136" spans="1:8" s="11" customFormat="1" x14ac:dyDescent="0.2">
      <c r="A136" s="12"/>
      <c r="B136" s="12"/>
      <c r="C136" s="13"/>
      <c r="D136" s="13"/>
      <c r="E136" s="13"/>
      <c r="F136" s="13"/>
      <c r="G136" s="13"/>
      <c r="H136" s="13"/>
    </row>
    <row r="137" spans="1:8" s="11" customFormat="1" x14ac:dyDescent="0.2">
      <c r="A137" s="12"/>
      <c r="B137" s="12"/>
      <c r="C137" s="13"/>
      <c r="D137" s="13"/>
      <c r="E137" s="13"/>
      <c r="F137" s="13"/>
      <c r="G137" s="13"/>
      <c r="H137" s="13"/>
    </row>
    <row r="138" spans="1:8" s="11" customFormat="1" x14ac:dyDescent="0.2">
      <c r="A138" s="12"/>
      <c r="B138" s="12"/>
      <c r="C138" s="13"/>
      <c r="D138" s="13"/>
      <c r="E138" s="13"/>
      <c r="F138" s="13"/>
      <c r="G138" s="13"/>
      <c r="H138" s="13"/>
    </row>
    <row r="139" spans="1:8" s="11" customFormat="1" x14ac:dyDescent="0.2">
      <c r="A139" s="12"/>
      <c r="B139" s="12"/>
      <c r="C139" s="13"/>
      <c r="D139" s="13"/>
      <c r="E139" s="13"/>
      <c r="F139" s="13"/>
      <c r="G139" s="13"/>
      <c r="H139" s="13"/>
    </row>
    <row r="140" spans="1:8" s="11" customFormat="1" x14ac:dyDescent="0.2">
      <c r="A140" s="12"/>
      <c r="B140" s="12"/>
      <c r="C140" s="13"/>
      <c r="D140" s="13"/>
      <c r="E140" s="13"/>
      <c r="F140" s="13"/>
      <c r="G140" s="13"/>
      <c r="H140" s="13"/>
    </row>
    <row r="141" spans="1:8" s="11" customFormat="1" x14ac:dyDescent="0.2">
      <c r="A141" s="12"/>
      <c r="B141" s="12"/>
      <c r="C141" s="13"/>
      <c r="D141" s="13"/>
      <c r="E141" s="13"/>
      <c r="F141" s="13"/>
      <c r="G141" s="13"/>
      <c r="H141" s="13"/>
    </row>
    <row r="142" spans="1:8" s="11" customFormat="1" x14ac:dyDescent="0.2">
      <c r="A142" s="12"/>
      <c r="B142" s="12"/>
      <c r="C142" s="13"/>
      <c r="D142" s="13"/>
      <c r="E142" s="13"/>
      <c r="F142" s="13"/>
      <c r="G142" s="13"/>
      <c r="H142" s="13"/>
    </row>
    <row r="143" spans="1:8" s="11" customFormat="1" x14ac:dyDescent="0.2">
      <c r="A143" s="12"/>
      <c r="B143" s="12"/>
      <c r="C143" s="13"/>
      <c r="D143" s="13"/>
      <c r="E143" s="13"/>
      <c r="F143" s="13"/>
      <c r="G143" s="13"/>
      <c r="H143" s="13"/>
    </row>
    <row r="144" spans="1:8" s="11" customFormat="1" x14ac:dyDescent="0.2">
      <c r="A144" s="12"/>
      <c r="B144" s="12"/>
      <c r="C144" s="13"/>
      <c r="D144" s="13"/>
      <c r="E144" s="13"/>
      <c r="F144" s="13"/>
      <c r="G144" s="13"/>
      <c r="H144" s="13"/>
    </row>
    <row r="145" spans="1:8" s="11" customFormat="1" x14ac:dyDescent="0.2">
      <c r="A145" s="12"/>
      <c r="B145" s="12"/>
      <c r="C145" s="13"/>
      <c r="D145" s="13"/>
      <c r="E145" s="13"/>
      <c r="F145" s="13"/>
      <c r="G145" s="13"/>
      <c r="H145" s="13"/>
    </row>
    <row r="146" spans="1:8" s="11" customFormat="1" x14ac:dyDescent="0.2">
      <c r="A146" s="12"/>
      <c r="B146" s="12"/>
      <c r="C146" s="13"/>
      <c r="D146" s="13"/>
      <c r="E146" s="13"/>
      <c r="F146" s="13"/>
      <c r="G146" s="13"/>
      <c r="H146" s="13"/>
    </row>
    <row r="147" spans="1:8" s="11" customFormat="1" x14ac:dyDescent="0.2">
      <c r="A147" s="12"/>
      <c r="B147" s="12"/>
      <c r="C147" s="13"/>
      <c r="D147" s="13"/>
      <c r="E147" s="13"/>
      <c r="F147" s="13"/>
      <c r="G147" s="13"/>
      <c r="H147" s="13"/>
    </row>
    <row r="148" spans="1:8" s="11" customFormat="1" x14ac:dyDescent="0.2">
      <c r="A148" s="12"/>
      <c r="B148" s="12"/>
      <c r="C148" s="13"/>
      <c r="D148" s="13"/>
      <c r="E148" s="13"/>
      <c r="F148" s="13"/>
      <c r="G148" s="13"/>
      <c r="H148" s="13"/>
    </row>
    <row r="149" spans="1:8" s="11" customFormat="1" x14ac:dyDescent="0.2">
      <c r="A149" s="12"/>
      <c r="B149" s="12"/>
      <c r="C149" s="13"/>
      <c r="D149" s="13"/>
      <c r="E149" s="13"/>
      <c r="F149" s="13"/>
      <c r="G149" s="13"/>
      <c r="H149" s="13"/>
    </row>
    <row r="150" spans="1:8" s="11" customFormat="1" x14ac:dyDescent="0.2">
      <c r="A150" s="12"/>
      <c r="B150" s="12"/>
      <c r="C150" s="13"/>
      <c r="D150" s="13"/>
      <c r="E150" s="13"/>
      <c r="F150" s="13"/>
      <c r="G150" s="13"/>
      <c r="H150" s="13"/>
    </row>
    <row r="151" spans="1:8" s="11" customFormat="1" x14ac:dyDescent="0.2">
      <c r="A151" s="12"/>
      <c r="B151" s="12"/>
      <c r="C151" s="13"/>
      <c r="D151" s="13"/>
      <c r="E151" s="13"/>
      <c r="F151" s="13"/>
      <c r="G151" s="13"/>
      <c r="H151" s="13"/>
    </row>
    <row r="152" spans="1:8" s="11" customFormat="1" x14ac:dyDescent="0.2">
      <c r="A152" s="12"/>
      <c r="B152" s="12"/>
      <c r="C152" s="13"/>
      <c r="D152" s="13"/>
      <c r="E152" s="13"/>
      <c r="F152" s="13"/>
      <c r="G152" s="13"/>
      <c r="H152" s="13"/>
    </row>
    <row r="153" spans="1:8" s="11" customFormat="1" x14ac:dyDescent="0.2">
      <c r="A153" s="12"/>
      <c r="B153" s="12"/>
      <c r="C153" s="13"/>
      <c r="D153" s="13"/>
      <c r="E153" s="13"/>
      <c r="F153" s="13"/>
      <c r="G153" s="13"/>
      <c r="H153" s="13"/>
    </row>
    <row r="154" spans="1:8" s="11" customFormat="1" x14ac:dyDescent="0.2">
      <c r="A154" s="12"/>
      <c r="B154" s="12"/>
      <c r="C154" s="13"/>
      <c r="D154" s="13"/>
      <c r="E154" s="13"/>
      <c r="F154" s="13"/>
      <c r="G154" s="13"/>
      <c r="H154" s="13"/>
    </row>
    <row r="155" spans="1:8" s="11" customFormat="1" x14ac:dyDescent="0.2">
      <c r="A155" s="12"/>
      <c r="B155" s="12"/>
      <c r="C155" s="13"/>
      <c r="D155" s="13"/>
      <c r="E155" s="13"/>
      <c r="F155" s="13"/>
      <c r="G155" s="13"/>
      <c r="H155" s="13"/>
    </row>
    <row r="156" spans="1:8" s="11" customFormat="1" x14ac:dyDescent="0.2">
      <c r="A156" s="12"/>
      <c r="B156" s="12"/>
      <c r="C156" s="13"/>
      <c r="D156" s="13"/>
      <c r="E156" s="13"/>
      <c r="F156" s="13"/>
      <c r="G156" s="13"/>
      <c r="H156" s="13"/>
    </row>
    <row r="157" spans="1:8" s="11" customFormat="1" x14ac:dyDescent="0.2">
      <c r="A157" s="12"/>
      <c r="B157" s="12"/>
      <c r="C157" s="13"/>
      <c r="D157" s="13"/>
      <c r="E157" s="13"/>
      <c r="F157" s="13"/>
      <c r="G157" s="13"/>
      <c r="H157" s="13"/>
    </row>
    <row r="158" spans="1:8" s="11" customFormat="1" x14ac:dyDescent="0.2">
      <c r="A158" s="12"/>
      <c r="B158" s="12"/>
      <c r="C158" s="13"/>
      <c r="D158" s="13"/>
      <c r="E158" s="13"/>
      <c r="F158" s="13"/>
      <c r="G158" s="13"/>
      <c r="H158" s="13"/>
    </row>
    <row r="159" spans="1:8" s="11" customFormat="1" x14ac:dyDescent="0.2">
      <c r="A159" s="12"/>
      <c r="B159" s="12"/>
      <c r="C159" s="13"/>
      <c r="D159" s="13"/>
      <c r="E159" s="13"/>
      <c r="F159" s="13"/>
      <c r="G159" s="13"/>
      <c r="H159" s="13"/>
    </row>
    <row r="160" spans="1:8" s="11" customFormat="1" x14ac:dyDescent="0.2">
      <c r="A160" s="12"/>
      <c r="B160" s="12"/>
      <c r="C160" s="13"/>
      <c r="D160" s="13"/>
      <c r="E160" s="13"/>
      <c r="F160" s="13"/>
      <c r="G160" s="13"/>
      <c r="H160" s="13"/>
    </row>
    <row r="161" spans="1:8" s="11" customFormat="1" x14ac:dyDescent="0.2">
      <c r="A161" s="12"/>
      <c r="B161" s="12"/>
      <c r="C161" s="13"/>
      <c r="D161" s="13"/>
      <c r="E161" s="13"/>
      <c r="F161" s="13"/>
      <c r="G161" s="13"/>
      <c r="H161" s="13"/>
    </row>
    <row r="162" spans="1:8" s="11" customFormat="1" x14ac:dyDescent="0.2">
      <c r="A162" s="12"/>
      <c r="B162" s="12"/>
      <c r="C162" s="13"/>
      <c r="D162" s="13"/>
      <c r="E162" s="13"/>
      <c r="F162" s="13"/>
      <c r="G162" s="13"/>
      <c r="H162" s="13"/>
    </row>
    <row r="163" spans="1:8" s="11" customFormat="1" x14ac:dyDescent="0.2">
      <c r="A163" s="12"/>
      <c r="B163" s="12"/>
      <c r="C163" s="13"/>
      <c r="D163" s="13"/>
      <c r="E163" s="13"/>
      <c r="F163" s="13"/>
      <c r="G163" s="13"/>
      <c r="H163" s="13"/>
    </row>
    <row r="164" spans="1:8" s="11" customFormat="1" x14ac:dyDescent="0.2">
      <c r="A164" s="12"/>
      <c r="B164" s="12"/>
      <c r="C164" s="13"/>
      <c r="D164" s="13"/>
      <c r="E164" s="13"/>
      <c r="F164" s="13"/>
      <c r="G164" s="13"/>
      <c r="H164" s="13"/>
    </row>
    <row r="165" spans="1:8" s="11" customFormat="1" x14ac:dyDescent="0.2">
      <c r="A165" s="12"/>
      <c r="B165" s="12"/>
      <c r="C165" s="13"/>
      <c r="D165" s="13"/>
      <c r="E165" s="13"/>
      <c r="F165" s="13"/>
      <c r="G165" s="13"/>
      <c r="H165" s="13"/>
    </row>
    <row r="166" spans="1:8" s="11" customFormat="1" x14ac:dyDescent="0.2">
      <c r="A166" s="12"/>
      <c r="B166" s="12"/>
      <c r="C166" s="13"/>
      <c r="D166" s="13"/>
      <c r="E166" s="13"/>
      <c r="F166" s="13"/>
      <c r="G166" s="13"/>
      <c r="H166" s="13"/>
    </row>
    <row r="167" spans="1:8" s="11" customFormat="1" x14ac:dyDescent="0.2">
      <c r="A167" s="12"/>
      <c r="B167" s="12"/>
      <c r="C167" s="13"/>
      <c r="D167" s="13"/>
      <c r="E167" s="13"/>
      <c r="F167" s="13"/>
      <c r="G167" s="13"/>
      <c r="H167" s="13"/>
    </row>
    <row r="168" spans="1:8" s="11" customFormat="1" x14ac:dyDescent="0.2">
      <c r="A168" s="12"/>
      <c r="B168" s="12"/>
      <c r="C168" s="13"/>
      <c r="D168" s="13"/>
      <c r="E168" s="13"/>
      <c r="F168" s="13"/>
      <c r="G168" s="13"/>
      <c r="H168" s="13"/>
    </row>
    <row r="169" spans="1:8" s="11" customFormat="1" x14ac:dyDescent="0.2">
      <c r="A169" s="12"/>
      <c r="B169" s="12"/>
      <c r="C169" s="13"/>
      <c r="D169" s="13"/>
      <c r="E169" s="13"/>
      <c r="F169" s="13"/>
      <c r="G169" s="13"/>
      <c r="H169" s="13"/>
    </row>
    <row r="170" spans="1:8" s="11" customFormat="1" x14ac:dyDescent="0.2">
      <c r="A170" s="12"/>
      <c r="B170" s="12"/>
      <c r="C170" s="13"/>
      <c r="D170" s="13"/>
      <c r="E170" s="13"/>
      <c r="F170" s="13"/>
      <c r="G170" s="13"/>
      <c r="H170" s="13"/>
    </row>
    <row r="171" spans="1:8" s="11" customFormat="1" x14ac:dyDescent="0.2">
      <c r="A171" s="12"/>
      <c r="B171" s="12"/>
      <c r="C171" s="13"/>
      <c r="D171" s="13"/>
      <c r="E171" s="13"/>
      <c r="F171" s="13"/>
      <c r="G171" s="13"/>
      <c r="H171" s="13"/>
    </row>
    <row r="172" spans="1:8" s="11" customFormat="1" x14ac:dyDescent="0.2">
      <c r="A172" s="12"/>
      <c r="B172" s="12"/>
      <c r="C172" s="13"/>
      <c r="D172" s="13"/>
      <c r="E172" s="13"/>
      <c r="F172" s="13"/>
      <c r="G172" s="13"/>
      <c r="H172" s="13"/>
    </row>
    <row r="173" spans="1:8" s="11" customFormat="1" x14ac:dyDescent="0.2">
      <c r="A173" s="12"/>
      <c r="B173" s="12"/>
      <c r="C173" s="13"/>
      <c r="D173" s="13"/>
      <c r="E173" s="13"/>
      <c r="F173" s="13"/>
      <c r="G173" s="13"/>
      <c r="H173" s="13"/>
    </row>
    <row r="174" spans="1:8" s="11" customFormat="1" x14ac:dyDescent="0.2">
      <c r="A174" s="12"/>
      <c r="B174" s="12"/>
      <c r="C174" s="13"/>
      <c r="D174" s="13"/>
      <c r="E174" s="13"/>
      <c r="F174" s="13"/>
      <c r="G174" s="13"/>
      <c r="H174" s="13"/>
    </row>
    <row r="175" spans="1:8" s="11" customFormat="1" x14ac:dyDescent="0.2">
      <c r="A175" s="12"/>
      <c r="B175" s="12"/>
      <c r="C175" s="13"/>
      <c r="D175" s="13"/>
      <c r="E175" s="13"/>
      <c r="F175" s="13"/>
      <c r="G175" s="13"/>
      <c r="H175" s="13"/>
    </row>
    <row r="176" spans="1:8" s="11" customFormat="1" x14ac:dyDescent="0.2">
      <c r="A176" s="12"/>
      <c r="B176" s="12"/>
      <c r="C176" s="13"/>
      <c r="D176" s="13"/>
      <c r="E176" s="13"/>
      <c r="F176" s="13"/>
      <c r="G176" s="13"/>
      <c r="H176" s="13"/>
    </row>
    <row r="177" spans="1:8" s="11" customFormat="1" x14ac:dyDescent="0.2">
      <c r="A177" s="12"/>
      <c r="B177" s="12"/>
      <c r="C177" s="13"/>
      <c r="D177" s="13"/>
      <c r="E177" s="13"/>
      <c r="F177" s="13"/>
      <c r="G177" s="13"/>
      <c r="H177" s="13"/>
    </row>
    <row r="178" spans="1:8" s="11" customFormat="1" x14ac:dyDescent="0.2">
      <c r="A178" s="12"/>
      <c r="B178" s="12"/>
      <c r="C178" s="13"/>
      <c r="D178" s="13"/>
      <c r="E178" s="13"/>
      <c r="F178" s="13"/>
      <c r="G178" s="13"/>
      <c r="H178" s="13"/>
    </row>
    <row r="179" spans="1:8" s="11" customFormat="1" x14ac:dyDescent="0.2">
      <c r="A179" s="12"/>
      <c r="B179" s="12"/>
      <c r="C179" s="13"/>
      <c r="D179" s="13"/>
      <c r="E179" s="13"/>
      <c r="F179" s="13"/>
      <c r="G179" s="13"/>
      <c r="H179" s="13"/>
    </row>
    <row r="180" spans="1:8" s="11" customFormat="1" x14ac:dyDescent="0.2">
      <c r="A180" s="12"/>
      <c r="B180" s="12"/>
      <c r="C180" s="13"/>
      <c r="D180" s="13"/>
      <c r="E180" s="13"/>
      <c r="F180" s="13"/>
      <c r="G180" s="13"/>
      <c r="H180" s="13"/>
    </row>
    <row r="181" spans="1:8" s="11" customFormat="1" x14ac:dyDescent="0.2">
      <c r="A181" s="12"/>
      <c r="B181" s="12"/>
      <c r="C181" s="13"/>
      <c r="D181" s="13"/>
      <c r="E181" s="13"/>
      <c r="F181" s="13"/>
      <c r="G181" s="13"/>
      <c r="H181" s="13"/>
    </row>
    <row r="182" spans="1:8" s="11" customFormat="1" x14ac:dyDescent="0.2">
      <c r="A182" s="12"/>
      <c r="B182" s="12"/>
      <c r="C182" s="13"/>
      <c r="D182" s="13"/>
      <c r="E182" s="13"/>
      <c r="F182" s="13"/>
      <c r="G182" s="13"/>
      <c r="H182" s="13"/>
    </row>
    <row r="183" spans="1:8" s="11" customFormat="1" x14ac:dyDescent="0.2"/>
    <row r="184" spans="1:8" s="11" customFormat="1" x14ac:dyDescent="0.2"/>
    <row r="185" spans="1:8" s="11" customFormat="1" x14ac:dyDescent="0.2"/>
    <row r="186" spans="1:8" s="11" customFormat="1" x14ac:dyDescent="0.2"/>
    <row r="187" spans="1:8" s="11" customFormat="1" x14ac:dyDescent="0.2"/>
    <row r="188" spans="1:8" s="11" customFormat="1" x14ac:dyDescent="0.2"/>
    <row r="189" spans="1:8" s="11" customFormat="1" x14ac:dyDescent="0.2"/>
    <row r="190" spans="1:8" s="11" customFormat="1" x14ac:dyDescent="0.2"/>
    <row r="191" spans="1:8" s="11" customFormat="1" x14ac:dyDescent="0.2"/>
    <row r="192" spans="1:8"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sheetData>
  <mergeCells count="1">
    <mergeCell ref="B37:H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workbookViewId="0"/>
  </sheetViews>
  <sheetFormatPr defaultRowHeight="12.75" x14ac:dyDescent="0.2"/>
  <cols>
    <col min="1" max="1" width="11.7109375" bestFit="1" customWidth="1"/>
    <col min="2" max="2" width="9.42578125" bestFit="1" customWidth="1"/>
    <col min="3" max="8" width="10.7109375" customWidth="1"/>
    <col min="9" max="9" width="11.7109375" bestFit="1" customWidth="1"/>
    <col min="13" max="18" width="10.7109375" customWidth="1"/>
    <col min="19" max="19" width="11.7109375" bestFit="1" customWidth="1"/>
    <col min="20" max="20" width="15" bestFit="1" customWidth="1"/>
  </cols>
  <sheetData>
    <row r="1" spans="1:19" x14ac:dyDescent="0.2">
      <c r="A1" s="2" t="s">
        <v>87</v>
      </c>
      <c r="K1" s="2" t="s">
        <v>96</v>
      </c>
    </row>
    <row r="2" spans="1:19" ht="13.5" thickBot="1" x14ac:dyDescent="0.25">
      <c r="B2" s="1"/>
      <c r="C2" s="3"/>
      <c r="D2" s="3"/>
      <c r="E2" s="3"/>
      <c r="F2" s="3"/>
      <c r="G2" s="3"/>
      <c r="H2" s="3"/>
      <c r="L2" s="1"/>
      <c r="M2" s="3"/>
      <c r="N2" s="3"/>
      <c r="O2" s="3"/>
      <c r="P2" s="3"/>
      <c r="Q2" s="3"/>
      <c r="R2" s="3"/>
    </row>
    <row r="3" spans="1:19" x14ac:dyDescent="0.2">
      <c r="B3" s="32" t="s">
        <v>65</v>
      </c>
      <c r="C3" s="47">
        <f t="shared" ref="C3:H3" si="0">MIN(C10:C40)</f>
        <v>0</v>
      </c>
      <c r="D3" s="48">
        <f t="shared" si="0"/>
        <v>0</v>
      </c>
      <c r="E3" s="186">
        <f t="shared" si="0"/>
        <v>0</v>
      </c>
      <c r="F3" s="183">
        <f t="shared" si="0"/>
        <v>0</v>
      </c>
      <c r="G3" s="183">
        <f t="shared" si="0"/>
        <v>0</v>
      </c>
      <c r="H3" s="187">
        <f t="shared" si="0"/>
        <v>0</v>
      </c>
      <c r="L3" s="32" t="s">
        <v>65</v>
      </c>
      <c r="M3" s="47">
        <f>MIN(M10:M39)</f>
        <v>4.6435185185185184E-2</v>
      </c>
      <c r="N3" s="48">
        <f t="shared" ref="N3:R3" si="1">MIN(N10:N39)</f>
        <v>6.145833333333333E-3</v>
      </c>
      <c r="O3" s="48">
        <f t="shared" si="1"/>
        <v>7.0601851851851847E-4</v>
      </c>
      <c r="P3" s="48">
        <f t="shared" si="1"/>
        <v>2.1689814814814821E-2</v>
      </c>
      <c r="Q3" s="48">
        <f t="shared" si="1"/>
        <v>5.0925925925925921E-4</v>
      </c>
      <c r="R3" s="49">
        <f t="shared" si="1"/>
        <v>1.380787037037037E-2</v>
      </c>
    </row>
    <row r="4" spans="1:19" x14ac:dyDescent="0.2">
      <c r="B4" s="33" t="s">
        <v>66</v>
      </c>
      <c r="C4" s="50">
        <f t="shared" ref="C4:H4" si="2">MAX(C10:C40)</f>
        <v>5.2453703703703704E-2</v>
      </c>
      <c r="D4" s="51">
        <f t="shared" si="2"/>
        <v>1.0254629629629629E-2</v>
      </c>
      <c r="E4" s="184">
        <f t="shared" si="2"/>
        <v>2.1527777777777778E-3</v>
      </c>
      <c r="F4" s="184">
        <f t="shared" si="2"/>
        <v>2.8148148148148144E-2</v>
      </c>
      <c r="G4" s="188">
        <f t="shared" si="2"/>
        <v>4.2708333333333327E-2</v>
      </c>
      <c r="H4" s="185">
        <f t="shared" si="2"/>
        <v>1.8749999999999999E-2</v>
      </c>
      <c r="L4" s="33" t="s">
        <v>66</v>
      </c>
      <c r="M4" s="50">
        <f>MAX(M10:M39)</f>
        <v>5.2453703703703704E-2</v>
      </c>
      <c r="N4" s="51">
        <f t="shared" ref="N4:R4" si="3">MAX(N10:N39)</f>
        <v>1.0254629629629629E-2</v>
      </c>
      <c r="O4" s="51">
        <f t="shared" si="3"/>
        <v>2.1527777777777778E-3</v>
      </c>
      <c r="P4" s="51">
        <f t="shared" si="3"/>
        <v>2.8148148148148144E-2</v>
      </c>
      <c r="Q4" s="51">
        <f t="shared" si="3"/>
        <v>1.4236111111111112E-3</v>
      </c>
      <c r="R4" s="52">
        <f t="shared" si="3"/>
        <v>1.8749999999999999E-2</v>
      </c>
    </row>
    <row r="5" spans="1:19" x14ac:dyDescent="0.2">
      <c r="B5" s="33" t="s">
        <v>67</v>
      </c>
      <c r="C5" s="50">
        <f t="shared" ref="C5:H5" si="4">AVERAGE(C10:C40)</f>
        <v>4.8159722222222222E-2</v>
      </c>
      <c r="D5" s="51">
        <f t="shared" si="4"/>
        <v>7.7852449223416971E-3</v>
      </c>
      <c r="E5" s="51">
        <f t="shared" si="4"/>
        <v>1.0442801672640384E-3</v>
      </c>
      <c r="F5" s="51">
        <f t="shared" si="4"/>
        <v>2.4324970131421743E-2</v>
      </c>
      <c r="G5" s="51">
        <f t="shared" si="4"/>
        <v>2.0605585424133812E-3</v>
      </c>
      <c r="H5" s="52">
        <f t="shared" si="4"/>
        <v>1.4254032258064512E-2</v>
      </c>
      <c r="L5" s="33" t="s">
        <v>67</v>
      </c>
      <c r="M5" s="50">
        <f>AVERAGE(M10:M39)</f>
        <v>5.0240180704898448E-2</v>
      </c>
      <c r="N5" s="51">
        <f t="shared" ref="N5:R5" si="5">AVERAGE(N10:N39)</f>
        <v>8.0447530864197533E-3</v>
      </c>
      <c r="O5" s="51">
        <f t="shared" si="5"/>
        <v>1.1149691358024695E-3</v>
      </c>
      <c r="P5" s="51">
        <f t="shared" si="5"/>
        <v>2.5135802469135802E-2</v>
      </c>
      <c r="Q5" s="51">
        <f t="shared" si="5"/>
        <v>7.4035493827160508E-4</v>
      </c>
      <c r="R5" s="52">
        <f t="shared" si="5"/>
        <v>1.5204301075268814E-2</v>
      </c>
    </row>
    <row r="6" spans="1:19" ht="13.5" thickBot="1" x14ac:dyDescent="0.25">
      <c r="B6" s="34" t="s">
        <v>83</v>
      </c>
      <c r="C6" s="210">
        <f t="shared" ref="C6:H6" si="6">COUNTA(C10:C41)</f>
        <v>32</v>
      </c>
      <c r="D6" s="211">
        <f t="shared" si="6"/>
        <v>32</v>
      </c>
      <c r="E6" s="211">
        <f t="shared" si="6"/>
        <v>32</v>
      </c>
      <c r="F6" s="211">
        <f t="shared" si="6"/>
        <v>32</v>
      </c>
      <c r="G6" s="211">
        <f t="shared" si="6"/>
        <v>32</v>
      </c>
      <c r="H6" s="212">
        <f t="shared" si="6"/>
        <v>32</v>
      </c>
      <c r="L6" s="34" t="s">
        <v>83</v>
      </c>
      <c r="M6" s="53">
        <f>COUNTA(M10:M39)</f>
        <v>30</v>
      </c>
      <c r="N6" s="54">
        <f t="shared" ref="N6:R6" si="7">COUNTA(N10:N39)</f>
        <v>30</v>
      </c>
      <c r="O6" s="54">
        <f t="shared" si="7"/>
        <v>30</v>
      </c>
      <c r="P6" s="54">
        <f t="shared" si="7"/>
        <v>30</v>
      </c>
      <c r="Q6" s="54">
        <f t="shared" si="7"/>
        <v>30</v>
      </c>
      <c r="R6" s="55">
        <f t="shared" si="7"/>
        <v>30</v>
      </c>
    </row>
    <row r="7" spans="1:19" x14ac:dyDescent="0.2">
      <c r="B7" s="216" t="s">
        <v>157</v>
      </c>
      <c r="C7" s="57" t="str">
        <f>IF(C6&lt;=Parameters!$B$15, "TRUE", "ERROR")</f>
        <v>ERROR</v>
      </c>
      <c r="D7" s="57" t="str">
        <f>IF(D6&lt;=Parameters!$B$15, "TRUE", "ERROR")</f>
        <v>ERROR</v>
      </c>
      <c r="E7" s="57" t="str">
        <f>IF(E6&lt;=Parameters!$B$15, "TRUE", "ERROR")</f>
        <v>ERROR</v>
      </c>
      <c r="F7" s="57" t="str">
        <f>IF(F6&lt;=Parameters!$B$15, "TRUE", "ERROR")</f>
        <v>ERROR</v>
      </c>
      <c r="G7" s="57" t="str">
        <f>IF(G6&lt;=Parameters!$B$15, "TRUE", "ERROR")</f>
        <v>ERROR</v>
      </c>
      <c r="H7" s="57" t="str">
        <f>IF(H6&lt;=Parameters!$B$15, "TRUE", "ERROR")</f>
        <v>ERROR</v>
      </c>
      <c r="L7" s="216" t="s">
        <v>156</v>
      </c>
      <c r="M7" s="57" t="str">
        <f>IF(M6&lt;=Parameters!$B$15, "TRUE", "ERROR")</f>
        <v>TRUE</v>
      </c>
      <c r="N7" s="57" t="str">
        <f>IF(N6&lt;=Parameters!$B$15, "TRUE", "ERROR")</f>
        <v>TRUE</v>
      </c>
      <c r="O7" s="57" t="str">
        <f>IF(O6&lt;=Parameters!$B$15, "TRUE", "ERROR")</f>
        <v>TRUE</v>
      </c>
      <c r="P7" s="57" t="str">
        <f>IF(P6&lt;=Parameters!$B$15, "TRUE", "ERROR")</f>
        <v>TRUE</v>
      </c>
      <c r="Q7" s="57" t="str">
        <f>IF(Q6&lt;=Parameters!$B$15, "TRUE", "ERROR")</f>
        <v>TRUE</v>
      </c>
      <c r="R7" s="57" t="str">
        <f>IF(R6&lt;=Parameters!$B$15, "TRUE", "ERROR")</f>
        <v>TRUE</v>
      </c>
    </row>
    <row r="8" spans="1:19" ht="13.5" thickBot="1" x14ac:dyDescent="0.25"/>
    <row r="9" spans="1:19" ht="26.25" customHeight="1" thickBot="1" x14ac:dyDescent="0.25">
      <c r="A9" s="24" t="str">
        <f>Data!A3</f>
        <v>Firstname</v>
      </c>
      <c r="B9" s="25" t="str">
        <f>Data!B3</f>
        <v>Lastname</v>
      </c>
      <c r="C9" s="86" t="str">
        <f>Data!C3</f>
        <v>Finish time</v>
      </c>
      <c r="D9" s="86" t="str">
        <f>Data!D3</f>
        <v>Swim Stage Time</v>
      </c>
      <c r="E9" s="86" t="str">
        <f>Data!E3</f>
        <v>T1 Time</v>
      </c>
      <c r="F9" s="86" t="str">
        <f>Data!F3</f>
        <v>Cycle Stage Time</v>
      </c>
      <c r="G9" s="86" t="str">
        <f>Data!G3</f>
        <v>T2 Time</v>
      </c>
      <c r="H9" s="87" t="str">
        <f>Data!H3</f>
        <v>Run Stage Time</v>
      </c>
      <c r="I9" s="2" t="s">
        <v>89</v>
      </c>
      <c r="J9" s="14"/>
      <c r="K9" s="24" t="str">
        <f t="shared" ref="K9:R9" si="8">A9</f>
        <v>Firstname</v>
      </c>
      <c r="L9" s="25" t="str">
        <f t="shared" si="8"/>
        <v>Lastname</v>
      </c>
      <c r="M9" s="86" t="str">
        <f t="shared" si="8"/>
        <v>Finish time</v>
      </c>
      <c r="N9" s="86" t="str">
        <f t="shared" si="8"/>
        <v>Swim Stage Time</v>
      </c>
      <c r="O9" s="86" t="str">
        <f t="shared" si="8"/>
        <v>T1 Time</v>
      </c>
      <c r="P9" s="86" t="str">
        <f t="shared" si="8"/>
        <v>Cycle Stage Time</v>
      </c>
      <c r="Q9" s="86" t="str">
        <f t="shared" si="8"/>
        <v>T2 Time</v>
      </c>
      <c r="R9" s="87" t="str">
        <f t="shared" si="8"/>
        <v>Run Stage Time</v>
      </c>
      <c r="S9" s="2" t="s">
        <v>89</v>
      </c>
    </row>
    <row r="10" spans="1:19" x14ac:dyDescent="0.2">
      <c r="A10" s="22" t="str">
        <f>Data!A4</f>
        <v>Steve</v>
      </c>
      <c r="B10" s="35" t="str">
        <f>Data!B4</f>
        <v>Greene</v>
      </c>
      <c r="C10" s="39">
        <f>Data!C4</f>
        <v>4.6435185185185184E-2</v>
      </c>
      <c r="D10" s="40">
        <f>Data!D4</f>
        <v>7.4189814814814813E-3</v>
      </c>
      <c r="E10" s="40">
        <f>Data!E4</f>
        <v>9.6064814814814819E-4</v>
      </c>
      <c r="F10" s="40">
        <f>Data!F4</f>
        <v>2.270833333333333E-2</v>
      </c>
      <c r="G10" s="40">
        <f>Data!G4</f>
        <v>6.134259259259259E-4</v>
      </c>
      <c r="H10" s="41">
        <f>Data!H4</f>
        <v>1.4733796296296297E-2</v>
      </c>
      <c r="I10" s="57" t="str">
        <f>IF(C10=SUM(D10:H10), "TRUE", "ERROR")</f>
        <v>TRUE</v>
      </c>
      <c r="J10" s="14"/>
      <c r="K10" s="22" t="str">
        <f t="shared" ref="K10:R10" si="9">A10</f>
        <v>Steve</v>
      </c>
      <c r="L10" s="35" t="str">
        <f t="shared" si="9"/>
        <v>Greene</v>
      </c>
      <c r="M10" s="39">
        <f t="shared" si="9"/>
        <v>4.6435185185185184E-2</v>
      </c>
      <c r="N10" s="40">
        <f t="shared" si="9"/>
        <v>7.4189814814814813E-3</v>
      </c>
      <c r="O10" s="40">
        <f t="shared" si="9"/>
        <v>9.6064814814814819E-4</v>
      </c>
      <c r="P10" s="40">
        <f t="shared" si="9"/>
        <v>2.270833333333333E-2</v>
      </c>
      <c r="Q10" s="40">
        <f t="shared" si="9"/>
        <v>6.134259259259259E-4</v>
      </c>
      <c r="R10" s="41">
        <f t="shared" si="9"/>
        <v>1.4733796296296297E-2</v>
      </c>
      <c r="S10" s="57" t="str">
        <f>IF(M10=SUM(N10:R10), "TRUE", "ERROR")</f>
        <v>TRUE</v>
      </c>
    </row>
    <row r="11" spans="1:19" x14ac:dyDescent="0.2">
      <c r="A11" s="22" t="str">
        <f>Data!A5</f>
        <v>Alan</v>
      </c>
      <c r="B11" s="35" t="str">
        <f>Data!B5</f>
        <v>Clark</v>
      </c>
      <c r="C11" s="42">
        <f>Data!C5</f>
        <v>4.6458333333333331E-2</v>
      </c>
      <c r="D11" s="38">
        <f>Data!D5</f>
        <v>7.3611111111111108E-3</v>
      </c>
      <c r="E11" s="38">
        <f>Data!E5</f>
        <v>7.6388888888888893E-4</v>
      </c>
      <c r="F11" s="38">
        <f>Data!F5</f>
        <v>2.3240740740740742E-2</v>
      </c>
      <c r="G11" s="38">
        <f>Data!G5</f>
        <v>6.5972222222222224E-4</v>
      </c>
      <c r="H11" s="43">
        <f>Data!H5</f>
        <v>1.443287037037037E-2</v>
      </c>
      <c r="I11" s="57" t="str">
        <f t="shared" ref="I11:I30" si="10">IF(C11=SUM(D11:H11), "TRUE", "ERROR")</f>
        <v>TRUE</v>
      </c>
      <c r="J11" s="14"/>
      <c r="K11" s="22" t="str">
        <f t="shared" ref="K11:K29" si="11">A11</f>
        <v>Alan</v>
      </c>
      <c r="L11" s="35" t="str">
        <f t="shared" ref="L11:L29" si="12">B11</f>
        <v>Clark</v>
      </c>
      <c r="M11" s="42">
        <f t="shared" ref="M11:R16" si="13">C11</f>
        <v>4.6458333333333331E-2</v>
      </c>
      <c r="N11" s="38">
        <f t="shared" si="13"/>
        <v>7.3611111111111108E-3</v>
      </c>
      <c r="O11" s="38">
        <f t="shared" si="13"/>
        <v>7.6388888888888893E-4</v>
      </c>
      <c r="P11" s="38">
        <f t="shared" si="13"/>
        <v>2.3240740740740742E-2</v>
      </c>
      <c r="Q11" s="38">
        <f t="shared" si="13"/>
        <v>6.5972222222222224E-4</v>
      </c>
      <c r="R11" s="43">
        <f t="shared" si="13"/>
        <v>1.443287037037037E-2</v>
      </c>
      <c r="S11" s="57" t="str">
        <f t="shared" ref="S11:S39" si="14">IF(M11=SUM(N11:R11), "TRUE", "ERROR")</f>
        <v>TRUE</v>
      </c>
    </row>
    <row r="12" spans="1:19" x14ac:dyDescent="0.2">
      <c r="A12" s="22" t="str">
        <f>Data!A6</f>
        <v>Nick</v>
      </c>
      <c r="B12" s="35" t="str">
        <f>Data!B6</f>
        <v>Cridlan</v>
      </c>
      <c r="C12" s="42">
        <f>Data!C6</f>
        <v>4.7696759259259258E-2</v>
      </c>
      <c r="D12" s="38">
        <f>Data!D6</f>
        <v>7.6157407407407406E-3</v>
      </c>
      <c r="E12" s="38">
        <f>Data!E6</f>
        <v>9.837962962962962E-4</v>
      </c>
      <c r="F12" s="38">
        <f>Data!F6</f>
        <v>2.4178240740740736E-2</v>
      </c>
      <c r="G12" s="38">
        <f>Data!G6</f>
        <v>5.5555555555555556E-4</v>
      </c>
      <c r="H12" s="43">
        <f>Data!H6</f>
        <v>1.4363425925925925E-2</v>
      </c>
      <c r="I12" s="57" t="str">
        <f t="shared" si="10"/>
        <v>TRUE</v>
      </c>
      <c r="J12" s="14"/>
      <c r="K12" s="22" t="str">
        <f t="shared" si="11"/>
        <v>Nick</v>
      </c>
      <c r="L12" s="35" t="str">
        <f t="shared" si="12"/>
        <v>Cridlan</v>
      </c>
      <c r="M12" s="42">
        <f t="shared" si="13"/>
        <v>4.7696759259259258E-2</v>
      </c>
      <c r="N12" s="38">
        <f t="shared" si="13"/>
        <v>7.6157407407407406E-3</v>
      </c>
      <c r="O12" s="38">
        <f t="shared" si="13"/>
        <v>9.837962962962962E-4</v>
      </c>
      <c r="P12" s="38">
        <f t="shared" si="13"/>
        <v>2.4178240740740736E-2</v>
      </c>
      <c r="Q12" s="38">
        <f t="shared" si="13"/>
        <v>5.5555555555555556E-4</v>
      </c>
      <c r="R12" s="43">
        <f t="shared" si="13"/>
        <v>1.4363425925925925E-2</v>
      </c>
      <c r="S12" s="57" t="str">
        <f t="shared" si="14"/>
        <v>TRUE</v>
      </c>
    </row>
    <row r="13" spans="1:19" x14ac:dyDescent="0.2">
      <c r="A13" s="22" t="str">
        <f>Data!A7</f>
        <v>Chris</v>
      </c>
      <c r="B13" s="35" t="str">
        <f>Data!B7</f>
        <v>Maunder</v>
      </c>
      <c r="C13" s="42">
        <f>Data!C7</f>
        <v>4.7939814814814817E-2</v>
      </c>
      <c r="D13" s="38">
        <f>Data!D7</f>
        <v>6.145833333333333E-3</v>
      </c>
      <c r="E13" s="38">
        <f>Data!E7</f>
        <v>1.0879629629629629E-3</v>
      </c>
      <c r="F13" s="38">
        <f>Data!F7</f>
        <v>2.5590277777777781E-2</v>
      </c>
      <c r="G13" s="38">
        <f>Data!G7</f>
        <v>8.564814814814815E-4</v>
      </c>
      <c r="H13" s="43">
        <f>Data!H7</f>
        <v>1.425925925925926E-2</v>
      </c>
      <c r="I13" s="57" t="str">
        <f t="shared" si="10"/>
        <v>TRUE</v>
      </c>
      <c r="J13" s="14"/>
      <c r="K13" s="22" t="str">
        <f t="shared" si="11"/>
        <v>Chris</v>
      </c>
      <c r="L13" s="35" t="str">
        <f t="shared" si="12"/>
        <v>Maunder</v>
      </c>
      <c r="M13" s="42">
        <f t="shared" si="13"/>
        <v>4.7939814814814817E-2</v>
      </c>
      <c r="N13" s="38">
        <f t="shared" si="13"/>
        <v>6.145833333333333E-3</v>
      </c>
      <c r="O13" s="38">
        <f t="shared" si="13"/>
        <v>1.0879629629629629E-3</v>
      </c>
      <c r="P13" s="38">
        <f t="shared" si="13"/>
        <v>2.5590277777777781E-2</v>
      </c>
      <c r="Q13" s="38">
        <f t="shared" si="13"/>
        <v>8.564814814814815E-4</v>
      </c>
      <c r="R13" s="43">
        <f t="shared" si="13"/>
        <v>1.425925925925926E-2</v>
      </c>
      <c r="S13" s="57" t="str">
        <f t="shared" si="14"/>
        <v>TRUE</v>
      </c>
    </row>
    <row r="14" spans="1:19" x14ac:dyDescent="0.2">
      <c r="A14" s="22" t="str">
        <f>Data!A8</f>
        <v>Conal</v>
      </c>
      <c r="B14" s="35" t="str">
        <f>Data!B8</f>
        <v>Newland</v>
      </c>
      <c r="C14" s="42">
        <f>Data!C8</f>
        <v>4.8402777777777781E-2</v>
      </c>
      <c r="D14" s="38">
        <f>Data!D8</f>
        <v>7.037037037037037E-3</v>
      </c>
      <c r="E14" s="38">
        <f>Data!E8</f>
        <v>1.0532407407407407E-3</v>
      </c>
      <c r="F14" s="38">
        <f>Data!F8</f>
        <v>2.4988425925925928E-2</v>
      </c>
      <c r="G14" s="38">
        <f>Data!G8</f>
        <v>9.1435185185185185E-4</v>
      </c>
      <c r="H14" s="43">
        <f>Data!H8</f>
        <v>1.4409722222222223E-2</v>
      </c>
      <c r="I14" s="57" t="str">
        <f t="shared" si="10"/>
        <v>TRUE</v>
      </c>
      <c r="J14" s="14"/>
      <c r="K14" s="22" t="str">
        <f t="shared" si="11"/>
        <v>Conal</v>
      </c>
      <c r="L14" s="35" t="str">
        <f t="shared" si="12"/>
        <v>Newland</v>
      </c>
      <c r="M14" s="42">
        <f t="shared" si="13"/>
        <v>4.8402777777777781E-2</v>
      </c>
      <c r="N14" s="38">
        <f t="shared" si="13"/>
        <v>7.037037037037037E-3</v>
      </c>
      <c r="O14" s="38">
        <f t="shared" si="13"/>
        <v>1.0532407407407407E-3</v>
      </c>
      <c r="P14" s="38">
        <f t="shared" si="13"/>
        <v>2.4988425925925928E-2</v>
      </c>
      <c r="Q14" s="38">
        <f t="shared" si="13"/>
        <v>9.1435185185185185E-4</v>
      </c>
      <c r="R14" s="43">
        <f t="shared" si="13"/>
        <v>1.4409722222222223E-2</v>
      </c>
      <c r="S14" s="57" t="str">
        <f t="shared" si="14"/>
        <v>TRUE</v>
      </c>
    </row>
    <row r="15" spans="1:19" x14ac:dyDescent="0.2">
      <c r="A15" s="22" t="str">
        <f>Data!A9</f>
        <v>Richard</v>
      </c>
      <c r="B15" s="35" t="str">
        <f>Data!B9</f>
        <v>Wilks</v>
      </c>
      <c r="C15" s="42">
        <f>Data!C9</f>
        <v>4.8483796296296296E-2</v>
      </c>
      <c r="D15" s="38">
        <f>Data!D9</f>
        <v>7.6851851851851855E-3</v>
      </c>
      <c r="E15" s="38">
        <f>Data!E9</f>
        <v>9.3749999999999997E-4</v>
      </c>
      <c r="F15" s="38">
        <f>Data!F9</f>
        <v>2.4513888888888891E-2</v>
      </c>
      <c r="G15" s="38">
        <f>Data!G9</f>
        <v>6.3657407407407413E-4</v>
      </c>
      <c r="H15" s="43">
        <f>Data!H9</f>
        <v>1.4710648148148148E-2</v>
      </c>
      <c r="I15" s="57" t="str">
        <f t="shared" si="10"/>
        <v>TRUE</v>
      </c>
      <c r="J15" s="14"/>
      <c r="K15" s="22" t="str">
        <f t="shared" si="11"/>
        <v>Richard</v>
      </c>
      <c r="L15" s="35" t="str">
        <f t="shared" si="12"/>
        <v>Wilks</v>
      </c>
      <c r="M15" s="42">
        <f t="shared" si="13"/>
        <v>4.8483796296296296E-2</v>
      </c>
      <c r="N15" s="38">
        <f t="shared" si="13"/>
        <v>7.6851851851851855E-3</v>
      </c>
      <c r="O15" s="38">
        <f t="shared" si="13"/>
        <v>9.3749999999999997E-4</v>
      </c>
      <c r="P15" s="38">
        <f t="shared" si="13"/>
        <v>2.4513888888888891E-2</v>
      </c>
      <c r="Q15" s="38">
        <f t="shared" si="13"/>
        <v>6.3657407407407413E-4</v>
      </c>
      <c r="R15" s="43">
        <f t="shared" si="13"/>
        <v>1.4710648148148148E-2</v>
      </c>
      <c r="S15" s="57" t="str">
        <f t="shared" si="14"/>
        <v>TRUE</v>
      </c>
    </row>
    <row r="16" spans="1:19" x14ac:dyDescent="0.2">
      <c r="A16" s="22" t="str">
        <f>Data!A10</f>
        <v>Tom</v>
      </c>
      <c r="B16" s="35" t="str">
        <f>Data!B10</f>
        <v>Newman</v>
      </c>
      <c r="C16" s="42">
        <f>Data!C10</f>
        <v>4.9050925925925928E-2</v>
      </c>
      <c r="D16" s="38">
        <f>Data!D10</f>
        <v>8.3564814814814821E-3</v>
      </c>
      <c r="E16" s="38">
        <f>Data!E10</f>
        <v>8.9120370370370373E-4</v>
      </c>
      <c r="F16" s="38">
        <f>Data!F10</f>
        <v>2.445601851851853E-2</v>
      </c>
      <c r="G16" s="38">
        <f>Data!G10</f>
        <v>7.407407407407407E-4</v>
      </c>
      <c r="H16" s="43">
        <f>Data!H10</f>
        <v>1.4606481481481481E-2</v>
      </c>
      <c r="I16" s="57" t="str">
        <f t="shared" si="10"/>
        <v>TRUE</v>
      </c>
      <c r="J16" s="14"/>
      <c r="K16" s="22" t="str">
        <f t="shared" si="11"/>
        <v>Tom</v>
      </c>
      <c r="L16" s="35" t="str">
        <f t="shared" si="12"/>
        <v>Newman</v>
      </c>
      <c r="M16" s="42">
        <f t="shared" si="13"/>
        <v>4.9050925925925928E-2</v>
      </c>
      <c r="N16" s="38">
        <f t="shared" si="13"/>
        <v>8.3564814814814821E-3</v>
      </c>
      <c r="O16" s="38">
        <f t="shared" si="13"/>
        <v>8.9120370370370373E-4</v>
      </c>
      <c r="P16" s="38">
        <f t="shared" si="13"/>
        <v>2.445601851851853E-2</v>
      </c>
      <c r="Q16" s="38">
        <f t="shared" si="13"/>
        <v>7.407407407407407E-4</v>
      </c>
      <c r="R16" s="43">
        <f t="shared" si="13"/>
        <v>1.4606481481481481E-2</v>
      </c>
      <c r="S16" s="57" t="str">
        <f t="shared" si="14"/>
        <v>TRUE</v>
      </c>
    </row>
    <row r="17" spans="1:19" x14ac:dyDescent="0.2">
      <c r="A17" s="22" t="str">
        <f>Data!A11</f>
        <v>Jason</v>
      </c>
      <c r="B17" s="35" t="str">
        <f>Data!B11</f>
        <v>Baggaley</v>
      </c>
      <c r="C17" s="42">
        <f>Data!C11</f>
        <v>4.9143518518518517E-2</v>
      </c>
      <c r="D17" s="38">
        <f>Data!D11</f>
        <v>7.4884259259259262E-3</v>
      </c>
      <c r="E17" s="188">
        <f>Data!E11</f>
        <v>0</v>
      </c>
      <c r="F17" s="38">
        <f>Data!F11</f>
        <v>2.4803240740740737E-2</v>
      </c>
      <c r="G17" s="38">
        <f>Data!G11</f>
        <v>6.5972222222222224E-4</v>
      </c>
      <c r="H17" s="43">
        <f>Data!H11</f>
        <v>1.511574074074074E-2</v>
      </c>
      <c r="I17" s="57" t="str">
        <f t="shared" si="10"/>
        <v>ERROR</v>
      </c>
      <c r="J17" s="14"/>
      <c r="K17" s="22" t="str">
        <f t="shared" si="11"/>
        <v>Jason</v>
      </c>
      <c r="L17" s="35" t="str">
        <f t="shared" si="12"/>
        <v>Baggaley</v>
      </c>
      <c r="M17" s="42">
        <f t="shared" ref="M17:N22" si="15">C17</f>
        <v>4.9143518518518517E-2</v>
      </c>
      <c r="N17" s="38">
        <f t="shared" si="15"/>
        <v>7.4884259259259262E-3</v>
      </c>
      <c r="O17" s="190">
        <f>M17-N17-P17-Q17-R17</f>
        <v>1.0763888888888924E-3</v>
      </c>
      <c r="P17" s="38">
        <f t="shared" ref="P17:R22" si="16">F17</f>
        <v>2.4803240740740737E-2</v>
      </c>
      <c r="Q17" s="38">
        <f t="shared" si="16"/>
        <v>6.5972222222222224E-4</v>
      </c>
      <c r="R17" s="43">
        <f t="shared" si="16"/>
        <v>1.511574074074074E-2</v>
      </c>
      <c r="S17" s="57" t="str">
        <f t="shared" si="14"/>
        <v>TRUE</v>
      </c>
    </row>
    <row r="18" spans="1:19" x14ac:dyDescent="0.2">
      <c r="A18" s="22" t="str">
        <f>Data!A12</f>
        <v>James</v>
      </c>
      <c r="B18" s="35" t="str">
        <f>Data!B12</f>
        <v>Goymour</v>
      </c>
      <c r="C18" s="42">
        <f>Data!C12</f>
        <v>4.9224537037037039E-2</v>
      </c>
      <c r="D18" s="38">
        <f>Data!D12</f>
        <v>8.9699074074074073E-3</v>
      </c>
      <c r="E18" s="38">
        <f>Data!E12</f>
        <v>8.3333333333333339E-4</v>
      </c>
      <c r="F18" s="38">
        <f>Data!F12</f>
        <v>2.5104166666666677E-2</v>
      </c>
      <c r="G18" s="38">
        <f>Data!G12</f>
        <v>5.0925925925925921E-4</v>
      </c>
      <c r="H18" s="43">
        <f>Data!H12</f>
        <v>1.380787037037037E-2</v>
      </c>
      <c r="I18" s="57" t="str">
        <f t="shared" si="10"/>
        <v>TRUE</v>
      </c>
      <c r="J18" s="14"/>
      <c r="K18" s="22" t="str">
        <f t="shared" si="11"/>
        <v>James</v>
      </c>
      <c r="L18" s="35" t="str">
        <f t="shared" si="12"/>
        <v>Goymour</v>
      </c>
      <c r="M18" s="42">
        <f t="shared" si="15"/>
        <v>4.9224537037037039E-2</v>
      </c>
      <c r="N18" s="38">
        <f t="shared" si="15"/>
        <v>8.9699074074074073E-3</v>
      </c>
      <c r="O18" s="38">
        <f t="shared" ref="O18:O25" si="17">E18</f>
        <v>8.3333333333333339E-4</v>
      </c>
      <c r="P18" s="38">
        <f t="shared" si="16"/>
        <v>2.5104166666666677E-2</v>
      </c>
      <c r="Q18" s="38">
        <f t="shared" si="16"/>
        <v>5.0925925925925921E-4</v>
      </c>
      <c r="R18" s="43">
        <f t="shared" si="16"/>
        <v>1.380787037037037E-2</v>
      </c>
      <c r="S18" s="57" t="str">
        <f t="shared" si="14"/>
        <v>TRUE</v>
      </c>
    </row>
    <row r="19" spans="1:19" x14ac:dyDescent="0.2">
      <c r="A19" s="22" t="str">
        <f>Data!A13</f>
        <v>Henry</v>
      </c>
      <c r="B19" s="35" t="str">
        <f>Data!B13</f>
        <v>Franklin</v>
      </c>
      <c r="C19" s="42">
        <f>Data!C13</f>
        <v>4.9456018518518517E-2</v>
      </c>
      <c r="D19" s="38">
        <f>Data!D13</f>
        <v>8.0902777777777778E-3</v>
      </c>
      <c r="E19" s="38">
        <f>Data!E13</f>
        <v>2.1527777777777778E-3</v>
      </c>
      <c r="F19" s="38">
        <f>Data!F13</f>
        <v>2.1689814814814821E-2</v>
      </c>
      <c r="G19" s="38">
        <f>Data!G13</f>
        <v>1.4236111111111112E-3</v>
      </c>
      <c r="H19" s="43">
        <f>Data!H13</f>
        <v>1.6099537037037037E-2</v>
      </c>
      <c r="I19" s="57" t="str">
        <f t="shared" si="10"/>
        <v>TRUE</v>
      </c>
      <c r="J19" s="14"/>
      <c r="K19" s="22" t="str">
        <f t="shared" si="11"/>
        <v>Henry</v>
      </c>
      <c r="L19" s="35" t="str">
        <f t="shared" si="12"/>
        <v>Franklin</v>
      </c>
      <c r="M19" s="42">
        <f t="shared" si="15"/>
        <v>4.9456018518518517E-2</v>
      </c>
      <c r="N19" s="38">
        <f t="shared" si="15"/>
        <v>8.0902777777777778E-3</v>
      </c>
      <c r="O19" s="38">
        <f t="shared" si="17"/>
        <v>2.1527777777777778E-3</v>
      </c>
      <c r="P19" s="38">
        <f t="shared" si="16"/>
        <v>2.1689814814814821E-2</v>
      </c>
      <c r="Q19" s="38">
        <f t="shared" si="16"/>
        <v>1.4236111111111112E-3</v>
      </c>
      <c r="R19" s="43">
        <f t="shared" si="16"/>
        <v>1.6099537037037037E-2</v>
      </c>
      <c r="S19" s="57" t="str">
        <f t="shared" si="14"/>
        <v>TRUE</v>
      </c>
    </row>
    <row r="20" spans="1:19" x14ac:dyDescent="0.2">
      <c r="A20" s="22" t="str">
        <f>Data!A14</f>
        <v>Martin</v>
      </c>
      <c r="B20" s="35" t="str">
        <f>Data!B14</f>
        <v>Pitts</v>
      </c>
      <c r="C20" s="42">
        <f>Data!C14</f>
        <v>4.9687500000000002E-2</v>
      </c>
      <c r="D20" s="38">
        <f>Data!D14</f>
        <v>7.4652777777777781E-3</v>
      </c>
      <c r="E20" s="38">
        <f>Data!E14</f>
        <v>1.0648148148148149E-3</v>
      </c>
      <c r="F20" s="38">
        <f>Data!F14</f>
        <v>2.4768518518518523E-2</v>
      </c>
      <c r="G20" s="38">
        <f>Data!G14</f>
        <v>6.9444444444444447E-4</v>
      </c>
      <c r="H20" s="43">
        <f>Data!H14</f>
        <v>1.5694444444444445E-2</v>
      </c>
      <c r="I20" s="57" t="str">
        <f t="shared" si="10"/>
        <v>TRUE</v>
      </c>
      <c r="J20" s="14"/>
      <c r="K20" s="22" t="str">
        <f t="shared" si="11"/>
        <v>Martin</v>
      </c>
      <c r="L20" s="35" t="str">
        <f t="shared" si="12"/>
        <v>Pitts</v>
      </c>
      <c r="M20" s="42">
        <f t="shared" si="15"/>
        <v>4.9687500000000002E-2</v>
      </c>
      <c r="N20" s="38">
        <f t="shared" si="15"/>
        <v>7.4652777777777781E-3</v>
      </c>
      <c r="O20" s="38">
        <f t="shared" si="17"/>
        <v>1.0648148148148149E-3</v>
      </c>
      <c r="P20" s="38">
        <f t="shared" si="16"/>
        <v>2.4768518518518523E-2</v>
      </c>
      <c r="Q20" s="38">
        <f t="shared" si="16"/>
        <v>6.9444444444444447E-4</v>
      </c>
      <c r="R20" s="43">
        <f t="shared" si="16"/>
        <v>1.5694444444444445E-2</v>
      </c>
      <c r="S20" s="57" t="str">
        <f t="shared" si="14"/>
        <v>TRUE</v>
      </c>
    </row>
    <row r="21" spans="1:19" x14ac:dyDescent="0.2">
      <c r="A21" s="22" t="str">
        <f>Data!A15</f>
        <v>Chris</v>
      </c>
      <c r="B21" s="35" t="str">
        <f>Data!B15</f>
        <v>Rees</v>
      </c>
      <c r="C21" s="42">
        <f>Data!C15</f>
        <v>0.05</v>
      </c>
      <c r="D21" s="38">
        <f>Data!D15</f>
        <v>8.9004629629629625E-3</v>
      </c>
      <c r="E21" s="38">
        <f>Data!E15</f>
        <v>9.3749999999999997E-4</v>
      </c>
      <c r="F21" s="38">
        <f>Data!F15</f>
        <v>2.4548611111111118E-2</v>
      </c>
      <c r="G21" s="38">
        <f>Data!G15</f>
        <v>6.9444444444444447E-4</v>
      </c>
      <c r="H21" s="43">
        <f>Data!H15</f>
        <v>1.4918981481481481E-2</v>
      </c>
      <c r="I21" s="57" t="str">
        <f t="shared" si="10"/>
        <v>TRUE</v>
      </c>
      <c r="J21" s="14"/>
      <c r="K21" s="22" t="str">
        <f t="shared" si="11"/>
        <v>Chris</v>
      </c>
      <c r="L21" s="35" t="str">
        <f t="shared" si="12"/>
        <v>Rees</v>
      </c>
      <c r="M21" s="42">
        <f t="shared" si="15"/>
        <v>0.05</v>
      </c>
      <c r="N21" s="38">
        <f t="shared" si="15"/>
        <v>8.9004629629629625E-3</v>
      </c>
      <c r="O21" s="38">
        <f t="shared" si="17"/>
        <v>9.3749999999999997E-4</v>
      </c>
      <c r="P21" s="38">
        <f t="shared" si="16"/>
        <v>2.4548611111111118E-2</v>
      </c>
      <c r="Q21" s="38">
        <f t="shared" si="16"/>
        <v>6.9444444444444447E-4</v>
      </c>
      <c r="R21" s="43">
        <f t="shared" si="16"/>
        <v>1.4918981481481481E-2</v>
      </c>
      <c r="S21" s="57" t="str">
        <f t="shared" si="14"/>
        <v>TRUE</v>
      </c>
    </row>
    <row r="22" spans="1:19" x14ac:dyDescent="0.2">
      <c r="A22" s="22" t="str">
        <f>Data!A16</f>
        <v>Melissa</v>
      </c>
      <c r="B22" s="35" t="str">
        <f>Data!B16</f>
        <v>Brand</v>
      </c>
      <c r="C22" s="42">
        <f>Data!C16</f>
        <v>5.0034722222222223E-2</v>
      </c>
      <c r="D22" s="38">
        <f>Data!D16</f>
        <v>8.0555555555555554E-3</v>
      </c>
      <c r="E22" s="38">
        <f>Data!E16</f>
        <v>7.5231481481481482E-4</v>
      </c>
      <c r="F22" s="38">
        <f>Data!F16</f>
        <v>2.4652777777777773E-2</v>
      </c>
      <c r="G22" s="38">
        <f>Data!G16</f>
        <v>7.1759259259259259E-4</v>
      </c>
      <c r="H22" s="43">
        <f>Data!H16</f>
        <v>1.5856481481481482E-2</v>
      </c>
      <c r="I22" s="57" t="str">
        <f t="shared" si="10"/>
        <v>TRUE</v>
      </c>
      <c r="J22" s="14"/>
      <c r="K22" s="22" t="str">
        <f t="shared" si="11"/>
        <v>Melissa</v>
      </c>
      <c r="L22" s="35" t="str">
        <f t="shared" si="12"/>
        <v>Brand</v>
      </c>
      <c r="M22" s="42">
        <f t="shared" si="15"/>
        <v>5.0034722222222223E-2</v>
      </c>
      <c r="N22" s="38">
        <f t="shared" si="15"/>
        <v>8.0555555555555554E-3</v>
      </c>
      <c r="O22" s="38">
        <f t="shared" si="17"/>
        <v>7.5231481481481482E-4</v>
      </c>
      <c r="P22" s="38">
        <f t="shared" si="16"/>
        <v>2.4652777777777773E-2</v>
      </c>
      <c r="Q22" s="38">
        <f t="shared" si="16"/>
        <v>7.1759259259259259E-4</v>
      </c>
      <c r="R22" s="43">
        <f t="shared" si="16"/>
        <v>1.5856481481481482E-2</v>
      </c>
      <c r="S22" s="57" t="str">
        <f t="shared" si="14"/>
        <v>TRUE</v>
      </c>
    </row>
    <row r="23" spans="1:19" x14ac:dyDescent="0.2">
      <c r="A23" s="22" t="str">
        <f>Data!A17</f>
        <v>Richard</v>
      </c>
      <c r="B23" s="35" t="str">
        <f>Data!B17</f>
        <v>Bashford</v>
      </c>
      <c r="C23" s="42">
        <f>Data!C17</f>
        <v>3.6261574074074078E-2</v>
      </c>
      <c r="D23" s="38">
        <f>Data!D17</f>
        <v>8.5995370370370375E-3</v>
      </c>
      <c r="E23" s="38">
        <f>Data!E17</f>
        <v>1.4004629629629629E-3</v>
      </c>
      <c r="F23" s="38">
        <f>Data!F17</f>
        <v>2.5590277777777781E-2</v>
      </c>
      <c r="G23" s="38">
        <f>Data!G17</f>
        <v>6.7129629629629625E-4</v>
      </c>
      <c r="H23" s="189">
        <f>Data!H17</f>
        <v>0</v>
      </c>
      <c r="I23" s="57" t="str">
        <f t="shared" si="10"/>
        <v>TRUE</v>
      </c>
      <c r="J23" s="14"/>
      <c r="K23" s="22" t="str">
        <f t="shared" si="11"/>
        <v>Richard</v>
      </c>
      <c r="L23" s="35" t="str">
        <f t="shared" si="12"/>
        <v>Bashford</v>
      </c>
      <c r="M23" s="191">
        <f>SUM(N23:R23)</f>
        <v>5.0515606332138592E-2</v>
      </c>
      <c r="N23" s="38">
        <f>D23</f>
        <v>8.5995370370370375E-3</v>
      </c>
      <c r="O23" s="38">
        <f t="shared" si="17"/>
        <v>1.4004629629629629E-3</v>
      </c>
      <c r="P23" s="38">
        <f t="shared" ref="P23:Q25" si="18">F23</f>
        <v>2.5590277777777781E-2</v>
      </c>
      <c r="Q23" s="38">
        <f t="shared" si="18"/>
        <v>6.7129629629629625E-4</v>
      </c>
      <c r="R23" s="192">
        <f>H5</f>
        <v>1.4254032258064512E-2</v>
      </c>
      <c r="S23" s="57" t="str">
        <f t="shared" si="14"/>
        <v>TRUE</v>
      </c>
    </row>
    <row r="24" spans="1:19" x14ac:dyDescent="0.2">
      <c r="A24" s="22" t="str">
        <f>Data!A18</f>
        <v>Neil</v>
      </c>
      <c r="B24" s="35" t="str">
        <f>Data!B18</f>
        <v>Kerfoot</v>
      </c>
      <c r="C24" s="42">
        <f>Data!C18</f>
        <v>5.0243055555555555E-2</v>
      </c>
      <c r="D24" s="38">
        <f>Data!D18</f>
        <v>7.6157407407407406E-3</v>
      </c>
      <c r="E24" s="38">
        <f>Data!E18</f>
        <v>8.2175925925925927E-4</v>
      </c>
      <c r="F24" s="38">
        <f>Data!F18</f>
        <v>2.5416666666666664E-2</v>
      </c>
      <c r="G24" s="38">
        <f>Data!G18</f>
        <v>7.7546296296296293E-4</v>
      </c>
      <c r="H24" s="43">
        <f>Data!H18</f>
        <v>1.5613425925925926E-2</v>
      </c>
      <c r="I24" s="57" t="str">
        <f t="shared" si="10"/>
        <v>TRUE</v>
      </c>
      <c r="J24" s="14"/>
      <c r="K24" s="22" t="str">
        <f t="shared" si="11"/>
        <v>Neil</v>
      </c>
      <c r="L24" s="35" t="str">
        <f t="shared" si="12"/>
        <v>Kerfoot</v>
      </c>
      <c r="M24" s="42">
        <f>C24</f>
        <v>5.0243055555555555E-2</v>
      </c>
      <c r="N24" s="38">
        <f>D24</f>
        <v>7.6157407407407406E-3</v>
      </c>
      <c r="O24" s="38">
        <f t="shared" si="17"/>
        <v>8.2175925925925927E-4</v>
      </c>
      <c r="P24" s="38">
        <f t="shared" si="18"/>
        <v>2.5416666666666664E-2</v>
      </c>
      <c r="Q24" s="38">
        <f t="shared" si="18"/>
        <v>7.7546296296296293E-4</v>
      </c>
      <c r="R24" s="43">
        <f>H24</f>
        <v>1.5613425925925926E-2</v>
      </c>
      <c r="S24" s="57" t="str">
        <f t="shared" si="14"/>
        <v>TRUE</v>
      </c>
    </row>
    <row r="25" spans="1:19" x14ac:dyDescent="0.2">
      <c r="A25" s="22" t="str">
        <f>Data!A19</f>
        <v>John</v>
      </c>
      <c r="B25" s="35" t="str">
        <f>Data!B19</f>
        <v>Williams</v>
      </c>
      <c r="C25" s="42">
        <f>Data!C19</f>
        <v>5.0266203703703702E-2</v>
      </c>
      <c r="D25" s="38">
        <f>Data!D19</f>
        <v>7.083333333333333E-3</v>
      </c>
      <c r="E25" s="38">
        <f>Data!E19</f>
        <v>1.2152777777777778E-3</v>
      </c>
      <c r="F25" s="38">
        <f>Data!F19</f>
        <v>2.6550925925925915E-2</v>
      </c>
      <c r="G25" s="38">
        <f>Data!G19</f>
        <v>9.4907407407407408E-4</v>
      </c>
      <c r="H25" s="43">
        <f>Data!H19</f>
        <v>1.4467592592592593E-2</v>
      </c>
      <c r="I25" s="57" t="str">
        <f t="shared" si="10"/>
        <v>TRUE</v>
      </c>
      <c r="J25" s="14"/>
      <c r="K25" s="22" t="str">
        <f t="shared" si="11"/>
        <v>John</v>
      </c>
      <c r="L25" s="35" t="str">
        <f t="shared" si="12"/>
        <v>Williams</v>
      </c>
      <c r="M25" s="42">
        <f>C25</f>
        <v>5.0266203703703702E-2</v>
      </c>
      <c r="N25" s="38">
        <f>D25</f>
        <v>7.083333333333333E-3</v>
      </c>
      <c r="O25" s="38">
        <f t="shared" si="17"/>
        <v>1.2152777777777778E-3</v>
      </c>
      <c r="P25" s="38">
        <f t="shared" si="18"/>
        <v>2.6550925925925915E-2</v>
      </c>
      <c r="Q25" s="38">
        <f t="shared" si="18"/>
        <v>9.4907407407407408E-4</v>
      </c>
      <c r="R25" s="43">
        <f>H25</f>
        <v>1.4467592592592593E-2</v>
      </c>
      <c r="S25" s="57" t="str">
        <f t="shared" si="14"/>
        <v>TRUE</v>
      </c>
    </row>
    <row r="26" spans="1:19" x14ac:dyDescent="0.2">
      <c r="A26" s="22" t="str">
        <f>Data!A20</f>
        <v>David</v>
      </c>
      <c r="B26" s="35" t="str">
        <f>Data!B20</f>
        <v>Hall</v>
      </c>
      <c r="C26" s="42">
        <f>Data!C20</f>
        <v>5.0393518518518518E-2</v>
      </c>
      <c r="D26" s="38">
        <f>Data!D20</f>
        <v>7.8009259259259256E-3</v>
      </c>
      <c r="E26" s="38">
        <f>Data!E20</f>
        <v>7.0601851851851847E-4</v>
      </c>
      <c r="F26" s="38">
        <f>Data!F20</f>
        <v>2.5798611111111119E-2</v>
      </c>
      <c r="G26" s="38">
        <f>Data!G20</f>
        <v>5.5555555555555556E-4</v>
      </c>
      <c r="H26" s="43">
        <f>Data!H20</f>
        <v>1.5532407407407408E-2</v>
      </c>
      <c r="I26" s="57" t="str">
        <f t="shared" si="10"/>
        <v>TRUE</v>
      </c>
      <c r="J26" s="14"/>
      <c r="K26" s="22" t="str">
        <f t="shared" si="11"/>
        <v>David</v>
      </c>
      <c r="L26" s="35" t="str">
        <f t="shared" si="12"/>
        <v>Hall</v>
      </c>
      <c r="M26" s="42">
        <f t="shared" ref="M26:M29" si="19">C26</f>
        <v>5.0393518518518518E-2</v>
      </c>
      <c r="N26" s="38">
        <f t="shared" ref="N26:N29" si="20">D26</f>
        <v>7.8009259259259256E-3</v>
      </c>
      <c r="O26" s="38">
        <f t="shared" ref="O26:O29" si="21">E26</f>
        <v>7.0601851851851847E-4</v>
      </c>
      <c r="P26" s="38">
        <f t="shared" ref="P26:P29" si="22">F26</f>
        <v>2.5798611111111119E-2</v>
      </c>
      <c r="Q26" s="38">
        <f t="shared" ref="Q26:Q29" si="23">G26</f>
        <v>5.5555555555555556E-4</v>
      </c>
      <c r="R26" s="43">
        <f t="shared" ref="R26:R29" si="24">H26</f>
        <v>1.5532407407407408E-2</v>
      </c>
      <c r="S26" s="57" t="str">
        <f t="shared" si="14"/>
        <v>TRUE</v>
      </c>
    </row>
    <row r="27" spans="1:19" x14ac:dyDescent="0.2">
      <c r="A27" s="22" t="str">
        <f>Data!A21</f>
        <v>Philip</v>
      </c>
      <c r="B27" s="35" t="str">
        <f>Data!B21</f>
        <v>Morton</v>
      </c>
      <c r="C27" s="42">
        <f>Data!C21</f>
        <v>5.0706018518518518E-2</v>
      </c>
      <c r="D27" s="38">
        <f>Data!D21</f>
        <v>7.6041666666666671E-3</v>
      </c>
      <c r="E27" s="38">
        <f>Data!E21</f>
        <v>1.25E-3</v>
      </c>
      <c r="F27" s="38">
        <f>Data!F21</f>
        <v>2.585648148148148E-2</v>
      </c>
      <c r="G27" s="38">
        <f>Data!G21</f>
        <v>5.3240740740740744E-4</v>
      </c>
      <c r="H27" s="43">
        <f>Data!H21</f>
        <v>1.5462962962962963E-2</v>
      </c>
      <c r="I27" s="57" t="str">
        <f t="shared" si="10"/>
        <v>TRUE</v>
      </c>
      <c r="J27" s="14"/>
      <c r="K27" s="22" t="str">
        <f t="shared" si="11"/>
        <v>Philip</v>
      </c>
      <c r="L27" s="35" t="str">
        <f t="shared" si="12"/>
        <v>Morton</v>
      </c>
      <c r="M27" s="42">
        <f t="shared" si="19"/>
        <v>5.0706018518518518E-2</v>
      </c>
      <c r="N27" s="38">
        <f t="shared" si="20"/>
        <v>7.6041666666666671E-3</v>
      </c>
      <c r="O27" s="38">
        <f t="shared" si="21"/>
        <v>1.25E-3</v>
      </c>
      <c r="P27" s="38">
        <f t="shared" si="22"/>
        <v>2.585648148148148E-2</v>
      </c>
      <c r="Q27" s="38">
        <f t="shared" si="23"/>
        <v>5.3240740740740744E-4</v>
      </c>
      <c r="R27" s="43">
        <f t="shared" si="24"/>
        <v>1.5462962962962963E-2</v>
      </c>
      <c r="S27" s="57" t="str">
        <f t="shared" si="14"/>
        <v>TRUE</v>
      </c>
    </row>
    <row r="28" spans="1:19" x14ac:dyDescent="0.2">
      <c r="A28" s="22" t="str">
        <f>Data!A22</f>
        <v>Rowen</v>
      </c>
      <c r="B28" s="35" t="str">
        <f>Data!B22</f>
        <v>Grandison</v>
      </c>
      <c r="C28" s="42">
        <f>Data!C22</f>
        <v>5.1168981481481482E-2</v>
      </c>
      <c r="D28" s="38">
        <f>Data!D22</f>
        <v>9.9652777777777778E-3</v>
      </c>
      <c r="E28" s="38">
        <f>Data!E22</f>
        <v>9.4907407407407408E-4</v>
      </c>
      <c r="F28" s="38">
        <f>Data!F22</f>
        <v>2.4618055555555553E-2</v>
      </c>
      <c r="G28" s="38">
        <f>Data!G22</f>
        <v>7.8703703703703705E-4</v>
      </c>
      <c r="H28" s="43">
        <f>Data!H22</f>
        <v>1.4849537037037038E-2</v>
      </c>
      <c r="I28" s="57" t="str">
        <f t="shared" si="10"/>
        <v>TRUE</v>
      </c>
      <c r="J28" s="14"/>
      <c r="K28" s="22" t="str">
        <f t="shared" si="11"/>
        <v>Rowen</v>
      </c>
      <c r="L28" s="35" t="str">
        <f t="shared" si="12"/>
        <v>Grandison</v>
      </c>
      <c r="M28" s="42">
        <f t="shared" si="19"/>
        <v>5.1168981481481482E-2</v>
      </c>
      <c r="N28" s="38">
        <f t="shared" si="20"/>
        <v>9.9652777777777778E-3</v>
      </c>
      <c r="O28" s="38">
        <f t="shared" si="21"/>
        <v>9.4907407407407408E-4</v>
      </c>
      <c r="P28" s="38">
        <f t="shared" si="22"/>
        <v>2.4618055555555553E-2</v>
      </c>
      <c r="Q28" s="38">
        <f t="shared" si="23"/>
        <v>7.8703703703703705E-4</v>
      </c>
      <c r="R28" s="43">
        <f t="shared" si="24"/>
        <v>1.4849537037037038E-2</v>
      </c>
      <c r="S28" s="57" t="str">
        <f t="shared" si="14"/>
        <v>TRUE</v>
      </c>
    </row>
    <row r="29" spans="1:19" x14ac:dyDescent="0.2">
      <c r="A29" s="22" t="str">
        <f>Data!A23</f>
        <v>Matt</v>
      </c>
      <c r="B29" s="35" t="str">
        <f>Data!B23</f>
        <v>Battensby</v>
      </c>
      <c r="C29" s="42">
        <f>Data!C23</f>
        <v>5.1331018518518519E-2</v>
      </c>
      <c r="D29" s="38">
        <f>Data!D23</f>
        <v>9.0162037037037034E-3</v>
      </c>
      <c r="E29" s="38">
        <f>Data!E23</f>
        <v>1.6435185185185185E-3</v>
      </c>
      <c r="F29" s="38">
        <f>Data!F23</f>
        <v>2.6041666666666671E-2</v>
      </c>
      <c r="G29" s="38">
        <f>Data!G23</f>
        <v>7.7546296296296293E-4</v>
      </c>
      <c r="H29" s="43">
        <f>Data!H23</f>
        <v>1.3854166666666667E-2</v>
      </c>
      <c r="I29" s="57" t="str">
        <f t="shared" si="10"/>
        <v>TRUE</v>
      </c>
      <c r="J29" s="14"/>
      <c r="K29" s="22" t="str">
        <f t="shared" si="11"/>
        <v>Matt</v>
      </c>
      <c r="L29" s="35" t="str">
        <f t="shared" si="12"/>
        <v>Battensby</v>
      </c>
      <c r="M29" s="42">
        <f t="shared" si="19"/>
        <v>5.1331018518518519E-2</v>
      </c>
      <c r="N29" s="38">
        <f t="shared" si="20"/>
        <v>9.0162037037037034E-3</v>
      </c>
      <c r="O29" s="38">
        <f t="shared" si="21"/>
        <v>1.6435185185185185E-3</v>
      </c>
      <c r="P29" s="38">
        <f t="shared" si="22"/>
        <v>2.6041666666666671E-2</v>
      </c>
      <c r="Q29" s="38">
        <f t="shared" si="23"/>
        <v>7.7546296296296293E-4</v>
      </c>
      <c r="R29" s="43">
        <f t="shared" si="24"/>
        <v>1.3854166666666667E-2</v>
      </c>
      <c r="S29" s="57" t="str">
        <f t="shared" si="14"/>
        <v>TRUE</v>
      </c>
    </row>
    <row r="30" spans="1:19" x14ac:dyDescent="0.2">
      <c r="A30" s="214" t="s">
        <v>161</v>
      </c>
      <c r="B30" s="215" t="s">
        <v>154</v>
      </c>
      <c r="C30" s="213">
        <f>Data!C24</f>
        <v>0</v>
      </c>
      <c r="D30" s="188">
        <v>0</v>
      </c>
      <c r="E30" s="188">
        <v>0</v>
      </c>
      <c r="F30" s="188">
        <v>0</v>
      </c>
      <c r="G30" s="188">
        <v>0</v>
      </c>
      <c r="H30" s="189">
        <v>0</v>
      </c>
      <c r="I30" s="57" t="str">
        <f t="shared" si="10"/>
        <v>TRUE</v>
      </c>
      <c r="J30" s="14"/>
      <c r="K30" s="22" t="str">
        <f t="shared" ref="K30:R34" si="25">A31</f>
        <v>Robert</v>
      </c>
      <c r="L30" s="35" t="str">
        <f t="shared" si="25"/>
        <v>Grande</v>
      </c>
      <c r="M30" s="42">
        <f t="shared" si="25"/>
        <v>5.1712962962962961E-2</v>
      </c>
      <c r="N30" s="38">
        <f t="shared" si="25"/>
        <v>9.0509259259259258E-3</v>
      </c>
      <c r="O30" s="38">
        <f t="shared" si="25"/>
        <v>1.0879629629629629E-3</v>
      </c>
      <c r="P30" s="38">
        <f t="shared" si="25"/>
        <v>2.5706018518518531E-2</v>
      </c>
      <c r="Q30" s="38">
        <f t="shared" si="25"/>
        <v>5.0925925925925921E-4</v>
      </c>
      <c r="R30" s="43">
        <f t="shared" si="25"/>
        <v>1.5358796296296296E-2</v>
      </c>
      <c r="S30" s="57" t="str">
        <f t="shared" si="14"/>
        <v>TRUE</v>
      </c>
    </row>
    <row r="31" spans="1:19" x14ac:dyDescent="0.2">
      <c r="A31" s="22" t="str">
        <f>Data!A25</f>
        <v>Robert</v>
      </c>
      <c r="B31" s="35" t="str">
        <f>Data!B25</f>
        <v>Grande</v>
      </c>
      <c r="C31" s="42">
        <f>Data!C25</f>
        <v>5.1712962962962961E-2</v>
      </c>
      <c r="D31" s="38">
        <f>Data!D25</f>
        <v>9.0509259259259258E-3</v>
      </c>
      <c r="E31" s="38">
        <f>Data!E25</f>
        <v>1.0879629629629629E-3</v>
      </c>
      <c r="F31" s="38">
        <f>Data!F25</f>
        <v>2.5706018518518531E-2</v>
      </c>
      <c r="G31" s="38">
        <f>Data!G25</f>
        <v>5.0925925925925921E-4</v>
      </c>
      <c r="H31" s="43">
        <f>Data!H25</f>
        <v>1.5358796296296296E-2</v>
      </c>
      <c r="I31" s="57" t="str">
        <f t="shared" ref="I31:I41" si="26">IF(C31=SUM(D31:H31), "TRUE", "ERROR")</f>
        <v>TRUE</v>
      </c>
      <c r="J31" s="14"/>
      <c r="K31" s="22" t="str">
        <f t="shared" si="25"/>
        <v>John</v>
      </c>
      <c r="L31" s="35" t="str">
        <f t="shared" si="25"/>
        <v>Percy</v>
      </c>
      <c r="M31" s="42">
        <f t="shared" si="25"/>
        <v>5.1712962962962961E-2</v>
      </c>
      <c r="N31" s="38">
        <f t="shared" si="25"/>
        <v>8.7152777777777784E-3</v>
      </c>
      <c r="O31" s="38">
        <f t="shared" si="25"/>
        <v>1.1111111111111111E-3</v>
      </c>
      <c r="P31" s="38">
        <f t="shared" si="25"/>
        <v>2.4780092592592597E-2</v>
      </c>
      <c r="Q31" s="38">
        <f t="shared" si="25"/>
        <v>8.564814814814815E-4</v>
      </c>
      <c r="R31" s="43">
        <f t="shared" si="25"/>
        <v>1.6250000000000001E-2</v>
      </c>
      <c r="S31" s="57" t="str">
        <f t="shared" si="14"/>
        <v>TRUE</v>
      </c>
    </row>
    <row r="32" spans="1:19" x14ac:dyDescent="0.2">
      <c r="A32" s="22" t="str">
        <f>Data!A26</f>
        <v>John</v>
      </c>
      <c r="B32" s="35" t="str">
        <f>Data!B26</f>
        <v>Percy</v>
      </c>
      <c r="C32" s="42">
        <f>Data!C26</f>
        <v>5.1712962962962961E-2</v>
      </c>
      <c r="D32" s="38">
        <f>Data!D26</f>
        <v>8.7152777777777784E-3</v>
      </c>
      <c r="E32" s="38">
        <f>Data!E26</f>
        <v>1.1111111111111111E-3</v>
      </c>
      <c r="F32" s="38">
        <f>Data!F26</f>
        <v>2.4780092592592597E-2</v>
      </c>
      <c r="G32" s="38">
        <f>Data!G26</f>
        <v>8.564814814814815E-4</v>
      </c>
      <c r="H32" s="43">
        <f>Data!H26</f>
        <v>1.6250000000000001E-2</v>
      </c>
      <c r="I32" s="57" t="str">
        <f t="shared" si="26"/>
        <v>TRUE</v>
      </c>
      <c r="J32" s="14"/>
      <c r="K32" s="22" t="str">
        <f t="shared" si="25"/>
        <v>John</v>
      </c>
      <c r="L32" s="35" t="str">
        <f t="shared" si="25"/>
        <v>Whateley</v>
      </c>
      <c r="M32" s="42">
        <f t="shared" si="25"/>
        <v>5.2002314814814814E-2</v>
      </c>
      <c r="N32" s="38">
        <f t="shared" si="25"/>
        <v>7.9745370370370369E-3</v>
      </c>
      <c r="O32" s="38">
        <f t="shared" si="25"/>
        <v>1.25E-3</v>
      </c>
      <c r="P32" s="38">
        <f t="shared" si="25"/>
        <v>2.6365740740740745E-2</v>
      </c>
      <c r="Q32" s="38">
        <f t="shared" si="25"/>
        <v>7.0601851851851847E-4</v>
      </c>
      <c r="R32" s="43">
        <f t="shared" si="25"/>
        <v>1.5706018518518518E-2</v>
      </c>
      <c r="S32" s="57" t="str">
        <f t="shared" si="14"/>
        <v>TRUE</v>
      </c>
    </row>
    <row r="33" spans="1:19" x14ac:dyDescent="0.2">
      <c r="A33" s="22" t="str">
        <f>Data!A27</f>
        <v>John</v>
      </c>
      <c r="B33" s="35" t="str">
        <f>Data!B27</f>
        <v>Whateley</v>
      </c>
      <c r="C33" s="42">
        <f>Data!C27</f>
        <v>5.2002314814814814E-2</v>
      </c>
      <c r="D33" s="38">
        <f>Data!D27</f>
        <v>7.9745370370370369E-3</v>
      </c>
      <c r="E33" s="38">
        <f>Data!E27</f>
        <v>1.25E-3</v>
      </c>
      <c r="F33" s="38">
        <f>Data!F27</f>
        <v>2.6365740740740745E-2</v>
      </c>
      <c r="G33" s="38">
        <f>Data!G27</f>
        <v>7.0601851851851847E-4</v>
      </c>
      <c r="H33" s="43">
        <f>Data!H27</f>
        <v>1.5706018518518518E-2</v>
      </c>
      <c r="I33" s="57" t="str">
        <f t="shared" si="26"/>
        <v>TRUE</v>
      </c>
      <c r="J33" s="14"/>
      <c r="K33" s="22" t="str">
        <f t="shared" si="25"/>
        <v>Tom</v>
      </c>
      <c r="L33" s="35" t="str">
        <f t="shared" si="25"/>
        <v>Dailey</v>
      </c>
      <c r="M33" s="42">
        <f t="shared" si="25"/>
        <v>5.2013888888888887E-2</v>
      </c>
      <c r="N33" s="38">
        <f t="shared" si="25"/>
        <v>7.6273148148148151E-3</v>
      </c>
      <c r="O33" s="38">
        <f t="shared" si="25"/>
        <v>1.0995370370370371E-3</v>
      </c>
      <c r="P33" s="38">
        <f t="shared" si="25"/>
        <v>2.6840277777777768E-2</v>
      </c>
      <c r="Q33" s="38">
        <f t="shared" si="25"/>
        <v>6.3657407407407413E-4</v>
      </c>
      <c r="R33" s="43">
        <f t="shared" si="25"/>
        <v>1.5810185185185184E-2</v>
      </c>
      <c r="S33" s="57" t="str">
        <f t="shared" si="14"/>
        <v>TRUE</v>
      </c>
    </row>
    <row r="34" spans="1:19" x14ac:dyDescent="0.2">
      <c r="A34" s="22" t="str">
        <f>Data!A28</f>
        <v>Tom</v>
      </c>
      <c r="B34" s="35" t="str">
        <f>Data!B28</f>
        <v>Dailey</v>
      </c>
      <c r="C34" s="42">
        <f>Data!C28</f>
        <v>5.2013888888888887E-2</v>
      </c>
      <c r="D34" s="38">
        <f>Data!D28</f>
        <v>7.6273148148148151E-3</v>
      </c>
      <c r="E34" s="38">
        <f>Data!E28</f>
        <v>1.0995370370370371E-3</v>
      </c>
      <c r="F34" s="38">
        <f>Data!F28</f>
        <v>2.6840277777777768E-2</v>
      </c>
      <c r="G34" s="38">
        <f>Data!G28</f>
        <v>6.3657407407407413E-4</v>
      </c>
      <c r="H34" s="43">
        <f>Data!H28</f>
        <v>1.5810185185185184E-2</v>
      </c>
      <c r="I34" s="57" t="str">
        <f t="shared" si="26"/>
        <v>TRUE</v>
      </c>
      <c r="J34" s="14"/>
      <c r="K34" s="22" t="str">
        <f t="shared" si="25"/>
        <v>Daniel</v>
      </c>
      <c r="L34" s="35" t="str">
        <f t="shared" si="25"/>
        <v>Bent</v>
      </c>
      <c r="M34" s="42">
        <f t="shared" si="25"/>
        <v>5.2037037037037034E-2</v>
      </c>
      <c r="N34" s="38">
        <f t="shared" si="25"/>
        <v>1.0254629629629629E-2</v>
      </c>
      <c r="O34" s="38">
        <f t="shared" si="25"/>
        <v>1.2962962962962963E-3</v>
      </c>
      <c r="P34" s="38">
        <f t="shared" si="25"/>
        <v>2.4953703703703693E-2</v>
      </c>
      <c r="Q34" s="38">
        <f t="shared" si="25"/>
        <v>8.7962962962962962E-4</v>
      </c>
      <c r="R34" s="43">
        <f t="shared" si="25"/>
        <v>1.4652777777777778E-2</v>
      </c>
      <c r="S34" s="57" t="str">
        <f t="shared" si="14"/>
        <v>TRUE</v>
      </c>
    </row>
    <row r="35" spans="1:19" x14ac:dyDescent="0.2">
      <c r="A35" s="22" t="str">
        <f>Data!A29</f>
        <v>Daniel</v>
      </c>
      <c r="B35" s="35" t="str">
        <f>Data!B29</f>
        <v>Bent</v>
      </c>
      <c r="C35" s="42">
        <f>Data!C29</f>
        <v>5.2037037037037034E-2</v>
      </c>
      <c r="D35" s="38">
        <f>Data!D29</f>
        <v>1.0254629629629629E-2</v>
      </c>
      <c r="E35" s="38">
        <f>Data!E29</f>
        <v>1.2962962962962963E-3</v>
      </c>
      <c r="F35" s="38">
        <f>Data!F29</f>
        <v>2.4953703703703693E-2</v>
      </c>
      <c r="G35" s="38">
        <f>Data!G29</f>
        <v>8.7962962962962962E-4</v>
      </c>
      <c r="H35" s="43">
        <f>Data!H29</f>
        <v>1.4652777777777778E-2</v>
      </c>
      <c r="I35" s="57" t="str">
        <f t="shared" si="26"/>
        <v>TRUE</v>
      </c>
      <c r="J35" s="14"/>
      <c r="K35" s="22" t="str">
        <f t="shared" ref="K35:P39" si="27">A36</f>
        <v>Andrew</v>
      </c>
      <c r="L35" s="35" t="str">
        <f t="shared" si="27"/>
        <v>Coe</v>
      </c>
      <c r="M35" s="42">
        <f t="shared" si="27"/>
        <v>5.2048611111111108E-2</v>
      </c>
      <c r="N35" s="38">
        <f t="shared" si="27"/>
        <v>8.611111111111111E-3</v>
      </c>
      <c r="O35" s="38">
        <f t="shared" si="27"/>
        <v>1.1458333333333333E-3</v>
      </c>
      <c r="P35" s="38">
        <f t="shared" si="27"/>
        <v>2.4722222222222215E-2</v>
      </c>
      <c r="Q35" s="190">
        <f>M35-N35-O35-P35-R35</f>
        <v>1.0416666666666734E-3</v>
      </c>
      <c r="R35" s="43">
        <f>H36</f>
        <v>1.6527777777777777E-2</v>
      </c>
      <c r="S35" s="57" t="str">
        <f t="shared" si="14"/>
        <v>TRUE</v>
      </c>
    </row>
    <row r="36" spans="1:19" x14ac:dyDescent="0.2">
      <c r="A36" s="22" t="str">
        <f>Data!A30</f>
        <v>Andrew</v>
      </c>
      <c r="B36" s="35" t="str">
        <f>Data!B30</f>
        <v>Coe</v>
      </c>
      <c r="C36" s="42">
        <f>Data!C30</f>
        <v>5.2048611111111108E-2</v>
      </c>
      <c r="D36" s="38">
        <f>Data!D30</f>
        <v>8.611111111111111E-3</v>
      </c>
      <c r="E36" s="38">
        <f>Data!E30</f>
        <v>1.1458333333333333E-3</v>
      </c>
      <c r="F36" s="38">
        <f>Data!F30</f>
        <v>2.4722222222222215E-2</v>
      </c>
      <c r="G36" s="188">
        <f>Data!G30</f>
        <v>4.2708333333333327E-2</v>
      </c>
      <c r="H36" s="43">
        <f>Data!H30</f>
        <v>1.6527777777777777E-2</v>
      </c>
      <c r="I36" s="57" t="str">
        <f t="shared" si="26"/>
        <v>ERROR</v>
      </c>
      <c r="J36" s="14"/>
      <c r="K36" s="22" t="str">
        <f t="shared" si="27"/>
        <v>Rory</v>
      </c>
      <c r="L36" s="35" t="str">
        <f t="shared" si="27"/>
        <v>Taylor</v>
      </c>
      <c r="M36" s="42">
        <f t="shared" si="27"/>
        <v>5.2071759259259262E-2</v>
      </c>
      <c r="N36" s="38">
        <f t="shared" si="27"/>
        <v>7.7314814814814815E-3</v>
      </c>
      <c r="O36" s="38">
        <f t="shared" si="27"/>
        <v>1.2962962962962963E-3</v>
      </c>
      <c r="P36" s="38">
        <f t="shared" si="27"/>
        <v>2.6643518518518525E-2</v>
      </c>
      <c r="Q36" s="38">
        <f>G37</f>
        <v>6.5972222222222224E-4</v>
      </c>
      <c r="R36" s="43">
        <f>H37</f>
        <v>1.5740740740740739E-2</v>
      </c>
      <c r="S36" s="57" t="str">
        <f t="shared" si="14"/>
        <v>TRUE</v>
      </c>
    </row>
    <row r="37" spans="1:19" x14ac:dyDescent="0.2">
      <c r="A37" s="22" t="str">
        <f>Data!A31</f>
        <v>Rory</v>
      </c>
      <c r="B37" s="35" t="str">
        <f>Data!B31</f>
        <v>Taylor</v>
      </c>
      <c r="C37" s="42">
        <f>Data!C31</f>
        <v>5.2071759259259262E-2</v>
      </c>
      <c r="D37" s="38">
        <f>Data!D31</f>
        <v>7.7314814814814815E-3</v>
      </c>
      <c r="E37" s="38">
        <f>Data!E31</f>
        <v>1.2962962962962963E-3</v>
      </c>
      <c r="F37" s="38">
        <f>Data!F31</f>
        <v>2.6643518518518525E-2</v>
      </c>
      <c r="G37" s="38">
        <f>Data!G31</f>
        <v>6.5972222222222224E-4</v>
      </c>
      <c r="H37" s="43">
        <f>Data!H31</f>
        <v>1.5740740740740739E-2</v>
      </c>
      <c r="I37" s="57" t="str">
        <f t="shared" si="26"/>
        <v>TRUE</v>
      </c>
      <c r="J37" s="14"/>
      <c r="K37" s="22" t="str">
        <f t="shared" si="27"/>
        <v>Robert</v>
      </c>
      <c r="L37" s="35" t="str">
        <f t="shared" si="27"/>
        <v>Wilkinson</v>
      </c>
      <c r="M37" s="42">
        <f t="shared" si="27"/>
        <v>5.2118055555555556E-2</v>
      </c>
      <c r="N37" s="38">
        <f t="shared" si="27"/>
        <v>8.0787037037037043E-3</v>
      </c>
      <c r="O37" s="38">
        <f t="shared" si="27"/>
        <v>1.2731481481481483E-3</v>
      </c>
      <c r="P37" s="38">
        <f t="shared" si="27"/>
        <v>2.5891203703703708E-2</v>
      </c>
      <c r="Q37" s="38">
        <f>G38</f>
        <v>6.4814814814814813E-4</v>
      </c>
      <c r="R37" s="43">
        <f>H38</f>
        <v>1.6226851851851853E-2</v>
      </c>
      <c r="S37" s="57" t="str">
        <f t="shared" si="14"/>
        <v>TRUE</v>
      </c>
    </row>
    <row r="38" spans="1:19" x14ac:dyDescent="0.2">
      <c r="A38" s="22" t="str">
        <f>Data!A32</f>
        <v>Robert</v>
      </c>
      <c r="B38" s="35" t="str">
        <f>Data!B32</f>
        <v>Wilkinson</v>
      </c>
      <c r="C38" s="42">
        <f>Data!C32</f>
        <v>5.2118055555555556E-2</v>
      </c>
      <c r="D38" s="38">
        <f>Data!D32</f>
        <v>8.0787037037037043E-3</v>
      </c>
      <c r="E38" s="38">
        <f>Data!E32</f>
        <v>1.2731481481481483E-3</v>
      </c>
      <c r="F38" s="38">
        <f>Data!F32</f>
        <v>2.5891203703703708E-2</v>
      </c>
      <c r="G38" s="38">
        <f>Data!G32</f>
        <v>6.4814814814814813E-4</v>
      </c>
      <c r="H38" s="43">
        <f>Data!H32</f>
        <v>1.6226851851851853E-2</v>
      </c>
      <c r="I38" s="57" t="str">
        <f t="shared" si="26"/>
        <v>TRUE</v>
      </c>
      <c r="J38" s="14"/>
      <c r="K38" s="22" t="str">
        <f t="shared" si="27"/>
        <v>Alexandra</v>
      </c>
      <c r="L38" s="35" t="str">
        <f t="shared" si="27"/>
        <v>Houghton</v>
      </c>
      <c r="M38" s="42">
        <f t="shared" si="27"/>
        <v>5.2395833333333336E-2</v>
      </c>
      <c r="N38" s="38">
        <f t="shared" si="27"/>
        <v>7.1759259259259259E-3</v>
      </c>
      <c r="O38" s="38">
        <f t="shared" si="27"/>
        <v>8.6805555555555551E-4</v>
      </c>
      <c r="P38" s="38">
        <f t="shared" si="27"/>
        <v>2.4907407407407406E-2</v>
      </c>
      <c r="Q38" s="38">
        <f>G39</f>
        <v>6.9444444444444447E-4</v>
      </c>
      <c r="R38" s="43">
        <f>H39</f>
        <v>1.8749999999999999E-2</v>
      </c>
      <c r="S38" s="57" t="str">
        <f t="shared" si="14"/>
        <v>TRUE</v>
      </c>
    </row>
    <row r="39" spans="1:19" ht="13.5" thickBot="1" x14ac:dyDescent="0.25">
      <c r="A39" s="22" t="str">
        <f>Data!A33</f>
        <v>Alexandra</v>
      </c>
      <c r="B39" s="35" t="str">
        <f>Data!B33</f>
        <v>Houghton</v>
      </c>
      <c r="C39" s="42">
        <f>Data!C33</f>
        <v>5.2395833333333336E-2</v>
      </c>
      <c r="D39" s="38">
        <f>Data!D33</f>
        <v>7.1759259259259259E-3</v>
      </c>
      <c r="E39" s="38">
        <f>Data!E33</f>
        <v>8.6805555555555551E-4</v>
      </c>
      <c r="F39" s="38">
        <f>Data!F33</f>
        <v>2.4907407407407406E-2</v>
      </c>
      <c r="G39" s="38">
        <f>Data!G33</f>
        <v>6.9444444444444447E-4</v>
      </c>
      <c r="H39" s="43">
        <f>Data!H33</f>
        <v>1.8749999999999999E-2</v>
      </c>
      <c r="I39" s="57" t="str">
        <f t="shared" si="26"/>
        <v>TRUE</v>
      </c>
      <c r="J39" s="14"/>
      <c r="K39" s="23" t="str">
        <f t="shared" si="27"/>
        <v>Scott</v>
      </c>
      <c r="L39" s="36" t="str">
        <f t="shared" si="27"/>
        <v>Pryde</v>
      </c>
      <c r="M39" s="44">
        <f t="shared" si="27"/>
        <v>5.2453703703703704E-2</v>
      </c>
      <c r="N39" s="45">
        <f t="shared" si="27"/>
        <v>7.8472222222222224E-3</v>
      </c>
      <c r="O39" s="45">
        <f t="shared" si="27"/>
        <v>1.5393518518518519E-3</v>
      </c>
      <c r="P39" s="45">
        <f t="shared" si="27"/>
        <v>2.8148148148148144E-2</v>
      </c>
      <c r="Q39" s="45">
        <f>G40</f>
        <v>8.564814814814815E-4</v>
      </c>
      <c r="R39" s="46">
        <f>H40</f>
        <v>1.40625E-2</v>
      </c>
      <c r="S39" s="57" t="str">
        <f t="shared" si="14"/>
        <v>TRUE</v>
      </c>
    </row>
    <row r="40" spans="1:19" x14ac:dyDescent="0.2">
      <c r="A40" s="22" t="str">
        <f>Data!A34</f>
        <v>Scott</v>
      </c>
      <c r="B40" s="35" t="str">
        <f>Data!B34</f>
        <v>Pryde</v>
      </c>
      <c r="C40" s="42">
        <f>Data!C34</f>
        <v>5.2453703703703704E-2</v>
      </c>
      <c r="D40" s="38">
        <f>Data!D34</f>
        <v>7.8472222222222224E-3</v>
      </c>
      <c r="E40" s="38">
        <f>Data!E34</f>
        <v>1.5393518518518519E-3</v>
      </c>
      <c r="F40" s="38">
        <f>Data!F34</f>
        <v>2.8148148148148144E-2</v>
      </c>
      <c r="G40" s="38">
        <f>Data!G34</f>
        <v>8.564814814814815E-4</v>
      </c>
      <c r="H40" s="43">
        <f>Data!H34</f>
        <v>1.40625E-2</v>
      </c>
      <c r="I40" s="57" t="str">
        <f t="shared" si="26"/>
        <v>TRUE</v>
      </c>
      <c r="J40" s="14"/>
      <c r="K40" s="11"/>
      <c r="L40" s="11"/>
      <c r="M40" s="38"/>
      <c r="N40" s="38"/>
      <c r="O40" s="38"/>
      <c r="P40" s="38"/>
      <c r="Q40" s="38"/>
      <c r="R40" s="38"/>
      <c r="S40" s="57"/>
    </row>
    <row r="41" spans="1:19" ht="13.5" thickBot="1" x14ac:dyDescent="0.25">
      <c r="A41" s="205" t="s">
        <v>160</v>
      </c>
      <c r="B41" s="206" t="s">
        <v>155</v>
      </c>
      <c r="C41" s="207" t="str">
        <f>Data!C35</f>
        <v>99:99:99</v>
      </c>
      <c r="D41" s="208">
        <f>Data!D35</f>
        <v>7.2106481481481475E-3</v>
      </c>
      <c r="E41" s="208">
        <f>Data!E35</f>
        <v>1.3425925925925925E-3</v>
      </c>
      <c r="F41" s="208" t="str">
        <f>Data!F35</f>
        <v>99:99:99</v>
      </c>
      <c r="G41" s="208" t="str">
        <f>Data!G35</f>
        <v>99:99:99</v>
      </c>
      <c r="H41" s="209" t="str">
        <f>Data!H35</f>
        <v>99:99:99</v>
      </c>
      <c r="I41" s="57" t="str">
        <f t="shared" si="26"/>
        <v>ERROR</v>
      </c>
    </row>
    <row r="44" spans="1:19" x14ac:dyDescent="0.2">
      <c r="A44" s="9" t="s">
        <v>88</v>
      </c>
    </row>
    <row r="45" spans="1:19" ht="12.75" customHeight="1" x14ac:dyDescent="0.2">
      <c r="A45" s="219" t="s">
        <v>91</v>
      </c>
      <c r="B45" s="219"/>
      <c r="C45" s="219"/>
      <c r="D45" s="219"/>
      <c r="E45" s="219"/>
      <c r="F45" s="219"/>
      <c r="G45" s="219"/>
      <c r="H45" s="219"/>
      <c r="I45" s="219"/>
      <c r="J45" s="219"/>
      <c r="K45" s="219"/>
    </row>
    <row r="46" spans="1:19" x14ac:dyDescent="0.2">
      <c r="A46" s="219"/>
      <c r="B46" s="219"/>
      <c r="C46" s="219"/>
      <c r="D46" s="219"/>
      <c r="E46" s="219"/>
      <c r="F46" s="219"/>
      <c r="G46" s="219"/>
      <c r="H46" s="219"/>
      <c r="I46" s="219"/>
      <c r="J46" s="219"/>
      <c r="K46" s="219"/>
    </row>
    <row r="47" spans="1:19" ht="12.75" customHeight="1" x14ac:dyDescent="0.2">
      <c r="A47" s="219" t="s">
        <v>90</v>
      </c>
      <c r="B47" s="219"/>
      <c r="C47" s="219"/>
      <c r="D47" s="219"/>
      <c r="E47" s="219"/>
      <c r="F47" s="219"/>
      <c r="G47" s="219"/>
      <c r="H47" s="219"/>
      <c r="I47" s="219"/>
      <c r="J47" s="219"/>
      <c r="K47" s="219"/>
    </row>
    <row r="48" spans="1:19" x14ac:dyDescent="0.2">
      <c r="A48" s="219"/>
      <c r="B48" s="219"/>
      <c r="C48" s="219"/>
      <c r="D48" s="219"/>
      <c r="E48" s="219"/>
      <c r="F48" s="219"/>
      <c r="G48" s="219"/>
      <c r="H48" s="219"/>
      <c r="I48" s="219"/>
      <c r="J48" s="219"/>
      <c r="K48" s="219"/>
    </row>
    <row r="49" spans="1:11" ht="12.75" customHeight="1" x14ac:dyDescent="0.2">
      <c r="A49" s="219" t="s">
        <v>148</v>
      </c>
      <c r="B49" s="219"/>
      <c r="C49" s="219"/>
      <c r="D49" s="219"/>
      <c r="E49" s="219"/>
      <c r="F49" s="219"/>
      <c r="G49" s="219"/>
      <c r="H49" s="219"/>
      <c r="I49" s="219"/>
      <c r="J49" s="219"/>
      <c r="K49" s="219"/>
    </row>
    <row r="50" spans="1:11" x14ac:dyDescent="0.2">
      <c r="A50" s="219"/>
      <c r="B50" s="219"/>
      <c r="C50" s="219"/>
      <c r="D50" s="219"/>
      <c r="E50" s="219"/>
      <c r="F50" s="219"/>
      <c r="G50" s="219"/>
      <c r="H50" s="219"/>
      <c r="I50" s="219"/>
      <c r="J50" s="219"/>
      <c r="K50" s="219"/>
    </row>
    <row r="51" spans="1:11" x14ac:dyDescent="0.2">
      <c r="A51" t="s">
        <v>162</v>
      </c>
    </row>
    <row r="52" spans="1:11" x14ac:dyDescent="0.2">
      <c r="A52" t="s">
        <v>163</v>
      </c>
    </row>
  </sheetData>
  <mergeCells count="3">
    <mergeCell ref="A45:K46"/>
    <mergeCell ref="A47:K48"/>
    <mergeCell ref="A49:K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B15" sqref="B15"/>
    </sheetView>
  </sheetViews>
  <sheetFormatPr defaultRowHeight="12.75" x14ac:dyDescent="0.2"/>
  <cols>
    <col min="1" max="1" width="28.42578125" customWidth="1"/>
    <col min="2" max="2" width="17" customWidth="1"/>
    <col min="3" max="3" width="20.28515625" customWidth="1"/>
    <col min="4" max="4" width="13" customWidth="1"/>
    <col min="6" max="6" width="11" bestFit="1" customWidth="1"/>
  </cols>
  <sheetData>
    <row r="1" spans="1:6" ht="15" x14ac:dyDescent="0.25">
      <c r="A1" s="9" t="s">
        <v>64</v>
      </c>
      <c r="B1" s="73" t="s">
        <v>129</v>
      </c>
    </row>
    <row r="2" spans="1:6" ht="13.5" thickBot="1" x14ac:dyDescent="0.25"/>
    <row r="3" spans="1:6" ht="13.5" thickBot="1" x14ac:dyDescent="0.25">
      <c r="A3" s="220" t="s">
        <v>57</v>
      </c>
      <c r="B3" s="221"/>
    </row>
    <row r="4" spans="1:6" ht="15" x14ac:dyDescent="0.25">
      <c r="A4" s="32" t="s">
        <v>58</v>
      </c>
      <c r="B4" s="58">
        <v>3</v>
      </c>
      <c r="C4" s="73" t="s">
        <v>92</v>
      </c>
    </row>
    <row r="5" spans="1:6" ht="15" x14ac:dyDescent="0.25">
      <c r="A5" s="33" t="s">
        <v>60</v>
      </c>
      <c r="B5" s="59">
        <v>7.0000000000000007E-2</v>
      </c>
      <c r="C5" s="73" t="s">
        <v>93</v>
      </c>
    </row>
    <row r="6" spans="1:6" ht="15.75" thickBot="1" x14ac:dyDescent="0.3">
      <c r="A6" s="34" t="s">
        <v>59</v>
      </c>
      <c r="B6" s="60">
        <v>2.5000000000000001E-2</v>
      </c>
      <c r="C6" s="73" t="s">
        <v>94</v>
      </c>
    </row>
    <row r="7" spans="1:6" ht="13.5" thickBot="1" x14ac:dyDescent="0.25"/>
    <row r="8" spans="1:6" ht="13.5" thickBot="1" x14ac:dyDescent="0.25">
      <c r="A8" s="69" t="s">
        <v>61</v>
      </c>
      <c r="B8" s="70" t="s">
        <v>140</v>
      </c>
      <c r="C8" s="71" t="s">
        <v>141</v>
      </c>
    </row>
    <row r="9" spans="1:6" ht="15" x14ac:dyDescent="0.25">
      <c r="A9" s="33" t="s">
        <v>120</v>
      </c>
      <c r="B9" s="65">
        <v>0.75</v>
      </c>
      <c r="C9" s="66">
        <v>3</v>
      </c>
      <c r="D9" s="73" t="s">
        <v>123</v>
      </c>
      <c r="E9" s="73" t="s">
        <v>126</v>
      </c>
    </row>
    <row r="10" spans="1:6" ht="15" x14ac:dyDescent="0.25">
      <c r="A10" s="33" t="s">
        <v>62</v>
      </c>
      <c r="B10" s="65">
        <v>20</v>
      </c>
      <c r="C10" s="66">
        <v>30</v>
      </c>
      <c r="D10" s="73" t="s">
        <v>124</v>
      </c>
      <c r="E10" s="73" t="s">
        <v>128</v>
      </c>
      <c r="F10" s="4"/>
    </row>
    <row r="11" spans="1:6" ht="15.75" thickBot="1" x14ac:dyDescent="0.3">
      <c r="A11" s="34" t="s">
        <v>63</v>
      </c>
      <c r="B11" s="67">
        <v>5</v>
      </c>
      <c r="C11" s="68">
        <v>6</v>
      </c>
      <c r="D11" s="73" t="s">
        <v>125</v>
      </c>
      <c r="E11" s="73" t="s">
        <v>127</v>
      </c>
      <c r="F11" s="4"/>
    </row>
    <row r="12" spans="1:6" ht="13.5" thickBot="1" x14ac:dyDescent="0.25"/>
    <row r="13" spans="1:6" ht="15.75" thickBot="1" x14ac:dyDescent="0.3">
      <c r="A13" s="69" t="s">
        <v>68</v>
      </c>
      <c r="B13" s="72">
        <v>4.1666666666666664E-2</v>
      </c>
      <c r="C13" s="73" t="s">
        <v>95</v>
      </c>
    </row>
    <row r="14" spans="1:6" ht="13.5" thickBot="1" x14ac:dyDescent="0.25"/>
    <row r="15" spans="1:6" ht="13.5" thickBot="1" x14ac:dyDescent="0.25">
      <c r="A15" s="69" t="s">
        <v>104</v>
      </c>
      <c r="B15" s="133">
        <v>30</v>
      </c>
    </row>
    <row r="16" spans="1:6" ht="13.5" thickBot="1" x14ac:dyDescent="0.25"/>
    <row r="17" spans="1:2" ht="13.5" thickBot="1" x14ac:dyDescent="0.25">
      <c r="A17" s="69" t="s">
        <v>98</v>
      </c>
      <c r="B17" s="133">
        <v>50</v>
      </c>
    </row>
    <row r="18" spans="1:2" ht="13.5" thickBot="1" x14ac:dyDescent="0.25"/>
    <row r="19" spans="1:2" ht="13.5" thickBot="1" x14ac:dyDescent="0.25">
      <c r="A19" s="69" t="s">
        <v>107</v>
      </c>
      <c r="B19" s="25" t="s">
        <v>106</v>
      </c>
    </row>
    <row r="20" spans="1:2" ht="13.5" thickBot="1" x14ac:dyDescent="0.25">
      <c r="A20" s="133">
        <v>10</v>
      </c>
      <c r="B20" s="132">
        <v>0.25</v>
      </c>
    </row>
    <row r="21" spans="1:2" ht="13.5" thickBot="1" x14ac:dyDescent="0.25"/>
    <row r="22" spans="1:2" ht="13.5" thickBot="1" x14ac:dyDescent="0.25">
      <c r="A22" s="69" t="s">
        <v>99</v>
      </c>
      <c r="B22" s="133">
        <v>1</v>
      </c>
    </row>
    <row r="23" spans="1:2" ht="13.5" thickBot="1" x14ac:dyDescent="0.25"/>
    <row r="24" spans="1:2" ht="13.5" thickBot="1" x14ac:dyDescent="0.25">
      <c r="A24" s="32" t="s">
        <v>101</v>
      </c>
      <c r="B24" s="21" t="s">
        <v>100</v>
      </c>
    </row>
    <row r="25" spans="1:2" x14ac:dyDescent="0.2">
      <c r="A25" s="32">
        <v>1</v>
      </c>
      <c r="B25" s="134">
        <v>20</v>
      </c>
    </row>
    <row r="26" spans="1:2" x14ac:dyDescent="0.2">
      <c r="A26" s="33">
        <v>2</v>
      </c>
      <c r="B26" s="135">
        <v>7</v>
      </c>
    </row>
    <row r="27" spans="1:2" ht="13.5" thickBot="1" x14ac:dyDescent="0.25">
      <c r="A27" s="34">
        <v>3</v>
      </c>
      <c r="B27" s="136">
        <v>3</v>
      </c>
    </row>
    <row r="28" spans="1:2" ht="13.5" thickBot="1" x14ac:dyDescent="0.25"/>
    <row r="29" spans="1:2" ht="13.5" thickBot="1" x14ac:dyDescent="0.25">
      <c r="A29" s="24" t="s">
        <v>116</v>
      </c>
      <c r="B29" s="138">
        <v>0.125</v>
      </c>
    </row>
    <row r="30" spans="1:2" ht="13.5" thickBot="1" x14ac:dyDescent="0.25"/>
    <row r="31" spans="1:2" ht="13.5" thickBot="1" x14ac:dyDescent="0.25">
      <c r="A31" s="69" t="s">
        <v>102</v>
      </c>
      <c r="B31" s="133">
        <v>150</v>
      </c>
    </row>
    <row r="32" spans="1:2" ht="13.5" thickBot="1" x14ac:dyDescent="0.25"/>
    <row r="33" spans="1:2" ht="13.5" thickBot="1" x14ac:dyDescent="0.25">
      <c r="A33" s="69" t="s">
        <v>103</v>
      </c>
      <c r="B33" s="133">
        <v>2</v>
      </c>
    </row>
  </sheetData>
  <mergeCells count="1">
    <mergeCell ref="A3: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9"/>
  <sheetViews>
    <sheetView workbookViewId="0"/>
  </sheetViews>
  <sheetFormatPr defaultRowHeight="12.75" x14ac:dyDescent="0.2"/>
  <cols>
    <col min="1" max="1" width="11.7109375" style="74" customWidth="1"/>
    <col min="2" max="2" width="11.5703125" style="74" customWidth="1"/>
    <col min="3" max="3" width="18.28515625" style="74" customWidth="1"/>
    <col min="4" max="4" width="10.7109375" style="74" customWidth="1"/>
    <col min="5" max="5" width="12.5703125" style="74" customWidth="1"/>
    <col min="6" max="6" width="10.7109375" style="74" customWidth="1"/>
    <col min="7" max="7" width="13.42578125" style="74" customWidth="1"/>
    <col min="8" max="8" width="10.7109375" style="74" customWidth="1"/>
    <col min="9" max="9" width="12" style="74" customWidth="1"/>
    <col min="10" max="10" width="10.7109375" style="14" customWidth="1"/>
    <col min="11" max="11" width="15" style="74" bestFit="1" customWidth="1"/>
    <col min="12" max="12" width="9.140625" style="74"/>
    <col min="13" max="13" width="15" style="74" customWidth="1"/>
    <col min="14" max="16384" width="9.140625" style="74"/>
  </cols>
  <sheetData>
    <row r="1" spans="1:13" x14ac:dyDescent="0.2">
      <c r="A1" s="10" t="s">
        <v>138</v>
      </c>
    </row>
    <row r="2" spans="1:13" ht="13.5" thickBot="1" x14ac:dyDescent="0.25">
      <c r="A2" s="10"/>
    </row>
    <row r="3" spans="1:13" x14ac:dyDescent="0.2">
      <c r="C3" s="32" t="s">
        <v>65</v>
      </c>
      <c r="D3" s="39">
        <f t="shared" ref="D3" si="0">MIN(D9:D179)</f>
        <v>6.145833333333333E-3</v>
      </c>
      <c r="E3" s="77">
        <f t="shared" ref="E3:I3" si="1">MIN(E9:E179)</f>
        <v>3.0474040632054176</v>
      </c>
      <c r="F3" s="40">
        <f t="shared" si="1"/>
        <v>2.1689814814814821E-2</v>
      </c>
      <c r="G3" s="77">
        <f t="shared" si="1"/>
        <v>29.60526315789474</v>
      </c>
      <c r="H3" s="40">
        <f t="shared" si="1"/>
        <v>1.380787037037037E-2</v>
      </c>
      <c r="I3" s="78">
        <f t="shared" si="1"/>
        <v>11.111111111111111</v>
      </c>
    </row>
    <row r="4" spans="1:13" x14ac:dyDescent="0.2">
      <c r="C4" s="33" t="s">
        <v>66</v>
      </c>
      <c r="D4" s="42">
        <f t="shared" ref="D4" si="2">MAX(D9:D179)</f>
        <v>1.0254629629629629E-2</v>
      </c>
      <c r="E4" s="79">
        <f t="shared" ref="E4:I4" si="3">MAX(E9:E179)</f>
        <v>5.0847457627118642</v>
      </c>
      <c r="F4" s="38">
        <f t="shared" si="3"/>
        <v>2.8148148148148144E-2</v>
      </c>
      <c r="G4" s="79">
        <f t="shared" si="3"/>
        <v>38.420490928495184</v>
      </c>
      <c r="H4" s="38">
        <f t="shared" si="3"/>
        <v>1.8749999999999999E-2</v>
      </c>
      <c r="I4" s="80">
        <f t="shared" si="3"/>
        <v>15.088013411567477</v>
      </c>
    </row>
    <row r="5" spans="1:13" x14ac:dyDescent="0.2">
      <c r="C5" s="33" t="s">
        <v>67</v>
      </c>
      <c r="D5" s="42">
        <f t="shared" ref="D5:I5" si="4">AVERAGE(D9:D38)</f>
        <v>8.0447530864197533E-3</v>
      </c>
      <c r="E5" s="79">
        <f t="shared" si="4"/>
        <v>3.9277514849855653</v>
      </c>
      <c r="F5" s="38">
        <f t="shared" si="4"/>
        <v>2.5135802469135802E-2</v>
      </c>
      <c r="G5" s="79">
        <f t="shared" si="4"/>
        <v>33.235283550004702</v>
      </c>
      <c r="H5" s="38">
        <f t="shared" si="4"/>
        <v>1.5204301075268814E-2</v>
      </c>
      <c r="I5" s="80">
        <f t="shared" si="4"/>
        <v>13.757409160909491</v>
      </c>
    </row>
    <row r="6" spans="1:13" ht="13.5" thickBot="1" x14ac:dyDescent="0.25">
      <c r="C6" s="34" t="s">
        <v>83</v>
      </c>
      <c r="D6" s="152">
        <f>COUNTA(D9:D38)</f>
        <v>30</v>
      </c>
      <c r="E6" s="88">
        <f t="shared" ref="E6:I6" si="5">COUNTA(E9:E38)</f>
        <v>30</v>
      </c>
      <c r="F6" s="88">
        <f t="shared" si="5"/>
        <v>30</v>
      </c>
      <c r="G6" s="88">
        <f t="shared" si="5"/>
        <v>30</v>
      </c>
      <c r="H6" s="88">
        <f t="shared" si="5"/>
        <v>30</v>
      </c>
      <c r="I6" s="89">
        <f t="shared" si="5"/>
        <v>30</v>
      </c>
    </row>
    <row r="7" spans="1:13" ht="13.5" thickBot="1" x14ac:dyDescent="0.25">
      <c r="C7" s="14"/>
      <c r="D7" s="15"/>
      <c r="E7" s="16"/>
      <c r="F7" s="15"/>
      <c r="G7" s="16"/>
      <c r="H7" s="15"/>
      <c r="I7" s="16"/>
    </row>
    <row r="8" spans="1:13" ht="33" customHeight="1" thickBot="1" x14ac:dyDescent="0.25">
      <c r="A8" s="92" t="str">
        <f>'Amended data'!K9</f>
        <v>Firstname</v>
      </c>
      <c r="B8" s="93" t="str">
        <f>'Amended data'!L9</f>
        <v>Lastname</v>
      </c>
      <c r="C8" s="93" t="s">
        <v>85</v>
      </c>
      <c r="D8" s="93" t="str">
        <f>'Amended data'!N9</f>
        <v>Swim Stage Time</v>
      </c>
      <c r="E8" s="93" t="s">
        <v>74</v>
      </c>
      <c r="F8" s="93" t="str">
        <f>'Amended data'!P9</f>
        <v>Cycle Stage Time</v>
      </c>
      <c r="G8" s="93" t="s">
        <v>73</v>
      </c>
      <c r="H8" s="93" t="str">
        <f>'Amended data'!R9</f>
        <v>Run Stage Time</v>
      </c>
      <c r="I8" s="94" t="s">
        <v>72</v>
      </c>
      <c r="J8" s="74"/>
      <c r="K8" s="203" t="s">
        <v>152</v>
      </c>
      <c r="M8" s="203" t="s">
        <v>153</v>
      </c>
    </row>
    <row r="9" spans="1:13" x14ac:dyDescent="0.2">
      <c r="A9" s="92" t="str">
        <f>'Amended data'!K10</f>
        <v>Steve</v>
      </c>
      <c r="B9" s="94" t="str">
        <f>'Amended data'!L10</f>
        <v>Greene</v>
      </c>
      <c r="C9" s="91" t="str">
        <f>A9&amp;B9</f>
        <v>SteveGreene</v>
      </c>
      <c r="D9" s="40">
        <f>'Amended data'!N10</f>
        <v>7.4189814814814813E-3</v>
      </c>
      <c r="E9" s="77">
        <f>Hour/D9*Swim_sprint</f>
        <v>4.2121684867394693</v>
      </c>
      <c r="F9" s="40">
        <f>'Amended data'!P10</f>
        <v>2.270833333333333E-2</v>
      </c>
      <c r="G9" s="77">
        <f t="shared" ref="G9:G27" si="6">Hour/F9*Bike_sprint</f>
        <v>36.697247706422019</v>
      </c>
      <c r="H9" s="40">
        <f>'Amended data'!R10</f>
        <v>1.4733796296296297E-2</v>
      </c>
      <c r="I9" s="78">
        <f t="shared" ref="I9:I27" si="7">Hour/H9*Run_sprint</f>
        <v>14.139827179890023</v>
      </c>
      <c r="J9" s="74"/>
      <c r="K9" s="154" t="b">
        <f>AND((F9&gt;H9), (H9&gt;D9))</f>
        <v>1</v>
      </c>
      <c r="M9" s="153" t="b">
        <f>AND((G9&gt;I9), (I9&gt;E9))</f>
        <v>1</v>
      </c>
    </row>
    <row r="10" spans="1:13" x14ac:dyDescent="0.2">
      <c r="A10" s="75" t="str">
        <f>'Amended data'!K11</f>
        <v>Alan</v>
      </c>
      <c r="B10" s="95" t="str">
        <f>'Amended data'!L11</f>
        <v>Clark</v>
      </c>
      <c r="C10" s="85" t="str">
        <f t="shared" ref="C10:C38" si="8">A10&amp;B10</f>
        <v>AlanClark</v>
      </c>
      <c r="D10" s="38">
        <f>'Amended data'!N11</f>
        <v>7.3611111111111108E-3</v>
      </c>
      <c r="E10" s="79">
        <f t="shared" ref="E10:E18" si="9">Hour/D10*Swim_sprint</f>
        <v>4.2452830188679247</v>
      </c>
      <c r="F10" s="38">
        <f>'Amended data'!P11</f>
        <v>2.3240740740740742E-2</v>
      </c>
      <c r="G10" s="79">
        <f t="shared" si="6"/>
        <v>35.856573705179279</v>
      </c>
      <c r="H10" s="38">
        <f>'Amended data'!R11</f>
        <v>1.443287037037037E-2</v>
      </c>
      <c r="I10" s="80">
        <f t="shared" si="7"/>
        <v>14.434643143544506</v>
      </c>
      <c r="J10" s="74"/>
      <c r="K10" s="154" t="b">
        <f t="shared" ref="K10:K38" si="10">AND((F10&gt;H10), (H10&gt;D10))</f>
        <v>1</v>
      </c>
      <c r="M10" s="154" t="b">
        <f t="shared" ref="M10:M38" si="11">AND((G10&gt;I10), (I10&gt;E10))</f>
        <v>1</v>
      </c>
    </row>
    <row r="11" spans="1:13" x14ac:dyDescent="0.2">
      <c r="A11" s="75" t="str">
        <f>'Amended data'!K12</f>
        <v>Nick</v>
      </c>
      <c r="B11" s="95" t="str">
        <f>'Amended data'!L12</f>
        <v>Cridlan</v>
      </c>
      <c r="C11" s="85" t="str">
        <f t="shared" si="8"/>
        <v>NickCridlan</v>
      </c>
      <c r="D11" s="38">
        <f>'Amended data'!N12</f>
        <v>7.6157407407407406E-3</v>
      </c>
      <c r="E11" s="79">
        <f t="shared" si="9"/>
        <v>4.103343465045592</v>
      </c>
      <c r="F11" s="38">
        <f>'Amended data'!P12</f>
        <v>2.4178240740740736E-2</v>
      </c>
      <c r="G11" s="79">
        <f t="shared" si="6"/>
        <v>34.466251795117287</v>
      </c>
      <c r="H11" s="38">
        <f>'Amended data'!R12</f>
        <v>1.4363425925925925E-2</v>
      </c>
      <c r="I11" s="80">
        <f t="shared" si="7"/>
        <v>14.504431909750203</v>
      </c>
      <c r="J11" s="74"/>
      <c r="K11" s="154" t="b">
        <f t="shared" si="10"/>
        <v>1</v>
      </c>
      <c r="M11" s="154" t="b">
        <f t="shared" si="11"/>
        <v>1</v>
      </c>
    </row>
    <row r="12" spans="1:13" x14ac:dyDescent="0.2">
      <c r="A12" s="75" t="str">
        <f>'Amended data'!K13</f>
        <v>Chris</v>
      </c>
      <c r="B12" s="95" t="str">
        <f>'Amended data'!L13</f>
        <v>Maunder</v>
      </c>
      <c r="C12" s="85" t="str">
        <f t="shared" si="8"/>
        <v>ChrisMaunder</v>
      </c>
      <c r="D12" s="38">
        <f>'Amended data'!N13</f>
        <v>6.145833333333333E-3</v>
      </c>
      <c r="E12" s="79">
        <f t="shared" si="9"/>
        <v>5.0847457627118642</v>
      </c>
      <c r="F12" s="38">
        <f>'Amended data'!P13</f>
        <v>2.5590277777777781E-2</v>
      </c>
      <c r="G12" s="79">
        <f t="shared" si="6"/>
        <v>32.56445047489823</v>
      </c>
      <c r="H12" s="38">
        <f>'Amended data'!R13</f>
        <v>1.425925925925926E-2</v>
      </c>
      <c r="I12" s="80">
        <f t="shared" si="7"/>
        <v>14.610389610389609</v>
      </c>
      <c r="J12" s="74"/>
      <c r="K12" s="154" t="b">
        <f t="shared" si="10"/>
        <v>1</v>
      </c>
      <c r="M12" s="154" t="b">
        <f t="shared" si="11"/>
        <v>1</v>
      </c>
    </row>
    <row r="13" spans="1:13" x14ac:dyDescent="0.2">
      <c r="A13" s="75" t="str">
        <f>'Amended data'!K14</f>
        <v>Conal</v>
      </c>
      <c r="B13" s="95" t="str">
        <f>'Amended data'!L14</f>
        <v>Newland</v>
      </c>
      <c r="C13" s="85" t="str">
        <f t="shared" si="8"/>
        <v>ConalNewland</v>
      </c>
      <c r="D13" s="38">
        <f>'Amended data'!N14</f>
        <v>7.037037037037037E-3</v>
      </c>
      <c r="E13" s="79">
        <f t="shared" si="9"/>
        <v>4.4407894736842106</v>
      </c>
      <c r="F13" s="38">
        <f>'Amended data'!P14</f>
        <v>2.4988425925925928E-2</v>
      </c>
      <c r="G13" s="79">
        <f t="shared" si="6"/>
        <v>33.348772579898096</v>
      </c>
      <c r="H13" s="38">
        <f>'Amended data'!R14</f>
        <v>1.4409722222222223E-2</v>
      </c>
      <c r="I13" s="80">
        <f t="shared" si="7"/>
        <v>14.457831325301203</v>
      </c>
      <c r="J13" s="74"/>
      <c r="K13" s="154" t="b">
        <f t="shared" si="10"/>
        <v>1</v>
      </c>
      <c r="M13" s="154" t="b">
        <f t="shared" si="11"/>
        <v>1</v>
      </c>
    </row>
    <row r="14" spans="1:13" x14ac:dyDescent="0.2">
      <c r="A14" s="75" t="str">
        <f>'Amended data'!K15</f>
        <v>Richard</v>
      </c>
      <c r="B14" s="95" t="str">
        <f>'Amended data'!L15</f>
        <v>Wilks</v>
      </c>
      <c r="C14" s="85" t="str">
        <f t="shared" si="8"/>
        <v>RichardWilks</v>
      </c>
      <c r="D14" s="38">
        <f>'Amended data'!N15</f>
        <v>7.6851851851851855E-3</v>
      </c>
      <c r="E14" s="79">
        <f t="shared" si="9"/>
        <v>4.0662650602409629</v>
      </c>
      <c r="F14" s="38">
        <f>'Amended data'!P15</f>
        <v>2.4513888888888891E-2</v>
      </c>
      <c r="G14" s="79">
        <f t="shared" si="6"/>
        <v>33.994334277620396</v>
      </c>
      <c r="H14" s="38">
        <f>'Amended data'!R15</f>
        <v>1.4710648148148148E-2</v>
      </c>
      <c r="I14" s="80">
        <f t="shared" si="7"/>
        <v>14.162077104642012</v>
      </c>
      <c r="J14" s="74"/>
      <c r="K14" s="154" t="b">
        <f t="shared" si="10"/>
        <v>1</v>
      </c>
      <c r="M14" s="154" t="b">
        <f t="shared" si="11"/>
        <v>1</v>
      </c>
    </row>
    <row r="15" spans="1:13" x14ac:dyDescent="0.2">
      <c r="A15" s="75" t="str">
        <f>'Amended data'!K16</f>
        <v>Tom</v>
      </c>
      <c r="B15" s="95" t="str">
        <f>'Amended data'!L16</f>
        <v>Newman</v>
      </c>
      <c r="C15" s="85" t="str">
        <f t="shared" si="8"/>
        <v>TomNewman</v>
      </c>
      <c r="D15" s="38">
        <f>'Amended data'!N16</f>
        <v>8.3564814814814821E-3</v>
      </c>
      <c r="E15" s="79">
        <f t="shared" si="9"/>
        <v>3.7396121883656503</v>
      </c>
      <c r="F15" s="38">
        <f>'Amended data'!P16</f>
        <v>2.445601851851853E-2</v>
      </c>
      <c r="G15" s="79">
        <f t="shared" si="6"/>
        <v>34.074775201135807</v>
      </c>
      <c r="H15" s="38">
        <f>'Amended data'!R16</f>
        <v>1.4606481481481481E-2</v>
      </c>
      <c r="I15" s="80">
        <f t="shared" si="7"/>
        <v>14.263074484944534</v>
      </c>
      <c r="J15" s="74"/>
      <c r="K15" s="154" t="b">
        <f t="shared" si="10"/>
        <v>1</v>
      </c>
      <c r="M15" s="154" t="b">
        <f t="shared" si="11"/>
        <v>1</v>
      </c>
    </row>
    <row r="16" spans="1:13" x14ac:dyDescent="0.2">
      <c r="A16" s="75" t="str">
        <f>'Amended data'!K17</f>
        <v>Jason</v>
      </c>
      <c r="B16" s="95" t="str">
        <f>'Amended data'!L17</f>
        <v>Baggaley</v>
      </c>
      <c r="C16" s="85" t="str">
        <f t="shared" si="8"/>
        <v>JasonBaggaley</v>
      </c>
      <c r="D16" s="38">
        <f>'Amended data'!N17</f>
        <v>7.4884259259259262E-3</v>
      </c>
      <c r="E16" s="79">
        <f t="shared" si="9"/>
        <v>4.1731066460587325</v>
      </c>
      <c r="F16" s="38">
        <f>'Amended data'!P17</f>
        <v>2.4803240740740737E-2</v>
      </c>
      <c r="G16" s="79">
        <f t="shared" si="6"/>
        <v>33.597760149323378</v>
      </c>
      <c r="H16" s="38">
        <f>'Amended data'!R17</f>
        <v>1.511574074074074E-2</v>
      </c>
      <c r="I16" s="80">
        <f t="shared" si="7"/>
        <v>13.782542113323125</v>
      </c>
      <c r="J16" s="74"/>
      <c r="K16" s="154" t="b">
        <f t="shared" si="10"/>
        <v>1</v>
      </c>
      <c r="M16" s="154" t="b">
        <f t="shared" si="11"/>
        <v>1</v>
      </c>
    </row>
    <row r="17" spans="1:13" x14ac:dyDescent="0.2">
      <c r="A17" s="75" t="str">
        <f>'Amended data'!K18</f>
        <v>James</v>
      </c>
      <c r="B17" s="95" t="str">
        <f>'Amended data'!L18</f>
        <v>Goymour</v>
      </c>
      <c r="C17" s="85" t="str">
        <f t="shared" si="8"/>
        <v>JamesGoymour</v>
      </c>
      <c r="D17" s="38">
        <f>'Amended data'!N18</f>
        <v>8.9699074074074073E-3</v>
      </c>
      <c r="E17" s="79">
        <f t="shared" si="9"/>
        <v>3.4838709677419351</v>
      </c>
      <c r="F17" s="38">
        <f>'Amended data'!P18</f>
        <v>2.5104166666666677E-2</v>
      </c>
      <c r="G17" s="79">
        <f t="shared" si="6"/>
        <v>33.195020746887948</v>
      </c>
      <c r="H17" s="38">
        <f>'Amended data'!R18</f>
        <v>1.380787037037037E-2</v>
      </c>
      <c r="I17" s="80">
        <f t="shared" si="7"/>
        <v>15.088013411567477</v>
      </c>
      <c r="J17" s="74"/>
      <c r="K17" s="154" t="b">
        <f t="shared" si="10"/>
        <v>1</v>
      </c>
      <c r="M17" s="154" t="b">
        <f t="shared" si="11"/>
        <v>1</v>
      </c>
    </row>
    <row r="18" spans="1:13" x14ac:dyDescent="0.2">
      <c r="A18" s="75" t="str">
        <f>'Amended data'!K19</f>
        <v>Henry</v>
      </c>
      <c r="B18" s="95" t="str">
        <f>'Amended data'!L19</f>
        <v>Franklin</v>
      </c>
      <c r="C18" s="85" t="str">
        <f t="shared" si="8"/>
        <v>HenryFranklin</v>
      </c>
      <c r="D18" s="38">
        <f>'Amended data'!N19</f>
        <v>8.0902777777777778E-3</v>
      </c>
      <c r="E18" s="79">
        <f t="shared" si="9"/>
        <v>3.862660944206008</v>
      </c>
      <c r="F18" s="38">
        <f>'Amended data'!P19</f>
        <v>2.1689814814814821E-2</v>
      </c>
      <c r="G18" s="79">
        <f t="shared" si="6"/>
        <v>38.420490928495184</v>
      </c>
      <c r="H18" s="38">
        <f>'Amended data'!R19</f>
        <v>1.6099537037037037E-2</v>
      </c>
      <c r="I18" s="80">
        <f t="shared" si="7"/>
        <v>12.940330697340043</v>
      </c>
      <c r="J18" s="74"/>
      <c r="K18" s="154" t="b">
        <f t="shared" si="10"/>
        <v>1</v>
      </c>
      <c r="M18" s="154" t="b">
        <f t="shared" si="11"/>
        <v>1</v>
      </c>
    </row>
    <row r="19" spans="1:13" x14ac:dyDescent="0.2">
      <c r="A19" s="75" t="str">
        <f>'Amended data'!K20</f>
        <v>Martin</v>
      </c>
      <c r="B19" s="95" t="str">
        <f>'Amended data'!L20</f>
        <v>Pitts</v>
      </c>
      <c r="C19" s="85" t="str">
        <f t="shared" si="8"/>
        <v>MartinPitts</v>
      </c>
      <c r="D19" s="38">
        <f>'Amended data'!N20</f>
        <v>7.4652777777777781E-3</v>
      </c>
      <c r="E19" s="79">
        <f t="shared" ref="E19:E28" si="12">Hour/D19*Swim_sprint</f>
        <v>4.1860465116279064</v>
      </c>
      <c r="F19" s="38">
        <f>'Amended data'!P20</f>
        <v>2.4768518518518523E-2</v>
      </c>
      <c r="G19" s="79">
        <f t="shared" si="6"/>
        <v>33.644859813084103</v>
      </c>
      <c r="H19" s="38">
        <f>'Amended data'!R20</f>
        <v>1.5694444444444445E-2</v>
      </c>
      <c r="I19" s="80">
        <f t="shared" si="7"/>
        <v>13.274336283185839</v>
      </c>
      <c r="J19" s="74"/>
      <c r="K19" s="154" t="b">
        <f t="shared" si="10"/>
        <v>1</v>
      </c>
      <c r="M19" s="154" t="b">
        <f t="shared" si="11"/>
        <v>1</v>
      </c>
    </row>
    <row r="20" spans="1:13" x14ac:dyDescent="0.2">
      <c r="A20" s="75" t="str">
        <f>'Amended data'!K21</f>
        <v>Chris</v>
      </c>
      <c r="B20" s="95" t="str">
        <f>'Amended data'!L21</f>
        <v>Rees</v>
      </c>
      <c r="C20" s="85" t="str">
        <f t="shared" si="8"/>
        <v>ChrisRees</v>
      </c>
      <c r="D20" s="38">
        <f>'Amended data'!N21</f>
        <v>8.9004629629629625E-3</v>
      </c>
      <c r="E20" s="79">
        <f t="shared" si="12"/>
        <v>3.5110533159947988</v>
      </c>
      <c r="F20" s="38">
        <f>'Amended data'!P21</f>
        <v>2.4548611111111118E-2</v>
      </c>
      <c r="G20" s="79">
        <f t="shared" si="6"/>
        <v>33.946251768033932</v>
      </c>
      <c r="H20" s="38">
        <f>'Amended data'!R21</f>
        <v>1.4918981481481481E-2</v>
      </c>
      <c r="I20" s="80">
        <f t="shared" si="7"/>
        <v>13.964313421256788</v>
      </c>
      <c r="J20" s="74"/>
      <c r="K20" s="154" t="b">
        <f t="shared" si="10"/>
        <v>1</v>
      </c>
      <c r="M20" s="154" t="b">
        <f t="shared" si="11"/>
        <v>1</v>
      </c>
    </row>
    <row r="21" spans="1:13" x14ac:dyDescent="0.2">
      <c r="A21" s="75" t="str">
        <f>'Amended data'!K22</f>
        <v>Melissa</v>
      </c>
      <c r="B21" s="95" t="str">
        <f>'Amended data'!L22</f>
        <v>Brand</v>
      </c>
      <c r="C21" s="85" t="str">
        <f t="shared" si="8"/>
        <v>MelissaBrand</v>
      </c>
      <c r="D21" s="38">
        <f>'Amended data'!N22</f>
        <v>8.0555555555555554E-3</v>
      </c>
      <c r="E21" s="79">
        <f t="shared" si="12"/>
        <v>3.8793103448275863</v>
      </c>
      <c r="F21" s="38">
        <f>'Amended data'!P22</f>
        <v>2.4652777777777773E-2</v>
      </c>
      <c r="G21" s="79">
        <f t="shared" si="6"/>
        <v>33.802816901408455</v>
      </c>
      <c r="H21" s="38">
        <f>'Amended data'!R22</f>
        <v>1.5856481481481482E-2</v>
      </c>
      <c r="I21" s="80">
        <f t="shared" si="7"/>
        <v>13.13868613138686</v>
      </c>
      <c r="J21" s="74"/>
      <c r="K21" s="154" t="b">
        <f t="shared" si="10"/>
        <v>1</v>
      </c>
      <c r="M21" s="154" t="b">
        <f t="shared" si="11"/>
        <v>1</v>
      </c>
    </row>
    <row r="22" spans="1:13" x14ac:dyDescent="0.2">
      <c r="A22" s="75" t="str">
        <f>'Amended data'!K23</f>
        <v>Richard</v>
      </c>
      <c r="B22" s="95" t="str">
        <f>'Amended data'!L23</f>
        <v>Bashford</v>
      </c>
      <c r="C22" s="85" t="str">
        <f t="shared" si="8"/>
        <v>RichardBashford</v>
      </c>
      <c r="D22" s="38">
        <f>'Amended data'!N23</f>
        <v>8.5995370370370375E-3</v>
      </c>
      <c r="E22" s="79">
        <f t="shared" si="12"/>
        <v>3.633916554508748</v>
      </c>
      <c r="F22" s="38">
        <f>'Amended data'!P23</f>
        <v>2.5590277777777781E-2</v>
      </c>
      <c r="G22" s="79">
        <f t="shared" si="6"/>
        <v>32.56445047489823</v>
      </c>
      <c r="H22" s="38">
        <f>'Amended data'!R23</f>
        <v>1.4254032258064512E-2</v>
      </c>
      <c r="I22" s="80">
        <f>Hour/H22*Run_sprint</f>
        <v>14.615747289014617</v>
      </c>
      <c r="J22" s="74"/>
      <c r="K22" s="154" t="b">
        <f t="shared" si="10"/>
        <v>1</v>
      </c>
      <c r="M22" s="154" t="b">
        <f t="shared" si="11"/>
        <v>1</v>
      </c>
    </row>
    <row r="23" spans="1:13" x14ac:dyDescent="0.2">
      <c r="A23" s="75" t="str">
        <f>'Amended data'!K24</f>
        <v>Neil</v>
      </c>
      <c r="B23" s="95" t="str">
        <f>'Amended data'!L24</f>
        <v>Kerfoot</v>
      </c>
      <c r="C23" s="85" t="str">
        <f t="shared" si="8"/>
        <v>NeilKerfoot</v>
      </c>
      <c r="D23" s="38">
        <f>'Amended data'!N24</f>
        <v>7.6157407407407406E-3</v>
      </c>
      <c r="E23" s="79">
        <f t="shared" si="12"/>
        <v>4.103343465045592</v>
      </c>
      <c r="F23" s="38">
        <f>'Amended data'!P24</f>
        <v>2.5416666666666664E-2</v>
      </c>
      <c r="G23" s="79">
        <f t="shared" si="6"/>
        <v>32.786885245901644</v>
      </c>
      <c r="H23" s="38">
        <f>'Amended data'!R24</f>
        <v>1.5613425925925926E-2</v>
      </c>
      <c r="I23" s="80">
        <f t="shared" si="7"/>
        <v>13.343217197924385</v>
      </c>
      <c r="J23" s="74"/>
      <c r="K23" s="154" t="b">
        <f t="shared" si="10"/>
        <v>1</v>
      </c>
      <c r="M23" s="154" t="b">
        <f t="shared" si="11"/>
        <v>1</v>
      </c>
    </row>
    <row r="24" spans="1:13" x14ac:dyDescent="0.2">
      <c r="A24" s="75" t="str">
        <f>'Amended data'!K25</f>
        <v>John</v>
      </c>
      <c r="B24" s="95" t="str">
        <f>'Amended data'!L25</f>
        <v>Williams</v>
      </c>
      <c r="C24" s="85" t="str">
        <f t="shared" si="8"/>
        <v>JohnWilliams</v>
      </c>
      <c r="D24" s="38">
        <f>'Amended data'!N25</f>
        <v>7.083333333333333E-3</v>
      </c>
      <c r="E24" s="79">
        <f t="shared" si="12"/>
        <v>4.4117647058823524</v>
      </c>
      <c r="F24" s="38">
        <f>'Amended data'!P25</f>
        <v>2.6550925925925915E-2</v>
      </c>
      <c r="G24" s="79">
        <f t="shared" si="6"/>
        <v>31.386224934612041</v>
      </c>
      <c r="H24" s="38">
        <f>'Amended data'!R25</f>
        <v>1.4467592592592593E-2</v>
      </c>
      <c r="I24" s="80">
        <f t="shared" si="7"/>
        <v>14.399999999999999</v>
      </c>
      <c r="J24" s="74"/>
      <c r="K24" s="154" t="b">
        <f t="shared" si="10"/>
        <v>1</v>
      </c>
      <c r="M24" s="154" t="b">
        <f t="shared" si="11"/>
        <v>1</v>
      </c>
    </row>
    <row r="25" spans="1:13" x14ac:dyDescent="0.2">
      <c r="A25" s="75" t="str">
        <f>'Amended data'!K26</f>
        <v>David</v>
      </c>
      <c r="B25" s="95" t="str">
        <f>'Amended data'!L26</f>
        <v>Hall</v>
      </c>
      <c r="C25" s="85" t="str">
        <f t="shared" si="8"/>
        <v>DavidHall</v>
      </c>
      <c r="D25" s="38">
        <f>'Amended data'!N26</f>
        <v>7.8009259259259256E-3</v>
      </c>
      <c r="E25" s="79">
        <f t="shared" si="12"/>
        <v>4.0059347181008897</v>
      </c>
      <c r="F25" s="38">
        <f>'Amended data'!P26</f>
        <v>2.5798611111111119E-2</v>
      </c>
      <c r="G25" s="79">
        <f t="shared" si="6"/>
        <v>32.301480484522195</v>
      </c>
      <c r="H25" s="38">
        <f>'Amended data'!R26</f>
        <v>1.5532407407407408E-2</v>
      </c>
      <c r="I25" s="80">
        <f t="shared" si="7"/>
        <v>13.412816691505213</v>
      </c>
      <c r="J25" s="74"/>
      <c r="K25" s="154" t="b">
        <f t="shared" si="10"/>
        <v>1</v>
      </c>
      <c r="M25" s="154" t="b">
        <f t="shared" si="11"/>
        <v>1</v>
      </c>
    </row>
    <row r="26" spans="1:13" x14ac:dyDescent="0.2">
      <c r="A26" s="75" t="str">
        <f>'Amended data'!K27</f>
        <v>Philip</v>
      </c>
      <c r="B26" s="95" t="str">
        <f>'Amended data'!L27</f>
        <v>Morton</v>
      </c>
      <c r="C26" s="85" t="str">
        <f t="shared" si="8"/>
        <v>PhilipMorton</v>
      </c>
      <c r="D26" s="38">
        <f>'Amended data'!N27</f>
        <v>7.6041666666666671E-3</v>
      </c>
      <c r="E26" s="79">
        <f t="shared" si="12"/>
        <v>4.10958904109589</v>
      </c>
      <c r="F26" s="38">
        <f>'Amended data'!P27</f>
        <v>2.585648148148148E-2</v>
      </c>
      <c r="G26" s="79">
        <f t="shared" si="6"/>
        <v>32.229185317815578</v>
      </c>
      <c r="H26" s="38">
        <f>'Amended data'!R27</f>
        <v>1.5462962962962963E-2</v>
      </c>
      <c r="I26" s="80">
        <f t="shared" si="7"/>
        <v>13.473053892215567</v>
      </c>
      <c r="J26" s="74"/>
      <c r="K26" s="154" t="b">
        <f t="shared" si="10"/>
        <v>1</v>
      </c>
      <c r="M26" s="154" t="b">
        <f t="shared" si="11"/>
        <v>1</v>
      </c>
    </row>
    <row r="27" spans="1:13" x14ac:dyDescent="0.2">
      <c r="A27" s="75" t="str">
        <f>'Amended data'!K28</f>
        <v>Rowen</v>
      </c>
      <c r="B27" s="95" t="str">
        <f>'Amended data'!L28</f>
        <v>Grandison</v>
      </c>
      <c r="C27" s="85" t="str">
        <f t="shared" si="8"/>
        <v>RowenGrandison</v>
      </c>
      <c r="D27" s="38">
        <f>'Amended data'!N28</f>
        <v>9.9652777777777778E-3</v>
      </c>
      <c r="E27" s="79">
        <f t="shared" si="12"/>
        <v>3.1358885017421598</v>
      </c>
      <c r="F27" s="38">
        <f>'Amended data'!P28</f>
        <v>2.4618055555555553E-2</v>
      </c>
      <c r="G27" s="79">
        <f t="shared" si="6"/>
        <v>33.850493653032444</v>
      </c>
      <c r="H27" s="38">
        <f>'Amended data'!R28</f>
        <v>1.4849537037037038E-2</v>
      </c>
      <c r="I27" s="80">
        <f t="shared" si="7"/>
        <v>14.02961808261886</v>
      </c>
      <c r="J27" s="74"/>
      <c r="K27" s="154" t="b">
        <f t="shared" si="10"/>
        <v>1</v>
      </c>
      <c r="M27" s="154" t="b">
        <f t="shared" si="11"/>
        <v>1</v>
      </c>
    </row>
    <row r="28" spans="1:13" x14ac:dyDescent="0.2">
      <c r="A28" s="75" t="str">
        <f>'Amended data'!K29</f>
        <v>Matt</v>
      </c>
      <c r="B28" s="95" t="str">
        <f>'Amended data'!L29</f>
        <v>Battensby</v>
      </c>
      <c r="C28" s="85" t="str">
        <f t="shared" si="8"/>
        <v>MattBattensby</v>
      </c>
      <c r="D28" s="38">
        <f>'Amended data'!N29</f>
        <v>9.0162037037037034E-3</v>
      </c>
      <c r="E28" s="79">
        <f t="shared" si="12"/>
        <v>3.4659820282413349</v>
      </c>
      <c r="F28" s="38">
        <f>'Amended data'!P29</f>
        <v>2.6041666666666671E-2</v>
      </c>
      <c r="G28" s="79">
        <f t="shared" ref="G28:G38" si="13">Hour/F28*Bike_sprint</f>
        <v>31.999999999999993</v>
      </c>
      <c r="H28" s="38">
        <f>'Amended data'!R29</f>
        <v>1.3854166666666667E-2</v>
      </c>
      <c r="I28" s="80">
        <f t="shared" ref="I28:I38" si="14">Hour/H28*Run_sprint</f>
        <v>15.037593984962406</v>
      </c>
      <c r="J28" s="74"/>
      <c r="K28" s="154" t="b">
        <f t="shared" si="10"/>
        <v>1</v>
      </c>
      <c r="M28" s="154" t="b">
        <f t="shared" si="11"/>
        <v>1</v>
      </c>
    </row>
    <row r="29" spans="1:13" x14ac:dyDescent="0.2">
      <c r="A29" s="75" t="str">
        <f>'Amended data'!K30</f>
        <v>Robert</v>
      </c>
      <c r="B29" s="95" t="str">
        <f>'Amended data'!L30</f>
        <v>Grande</v>
      </c>
      <c r="C29" s="85" t="str">
        <f t="shared" si="8"/>
        <v>RobertGrande</v>
      </c>
      <c r="D29" s="38">
        <f>'Amended data'!N30</f>
        <v>9.0509259259259258E-3</v>
      </c>
      <c r="E29" s="79">
        <f t="shared" ref="E29:E38" si="15">Hour/D29*Swim_sprint</f>
        <v>3.452685421994885</v>
      </c>
      <c r="F29" s="38">
        <f>'Amended data'!P30</f>
        <v>2.5706018518518531E-2</v>
      </c>
      <c r="G29" s="79">
        <f t="shared" si="13"/>
        <v>32.417829806393499</v>
      </c>
      <c r="H29" s="38">
        <f>'Amended data'!R30</f>
        <v>1.5358796296296296E-2</v>
      </c>
      <c r="I29" s="80">
        <f t="shared" si="14"/>
        <v>13.564431047475509</v>
      </c>
      <c r="J29" s="74"/>
      <c r="K29" s="154" t="b">
        <f t="shared" si="10"/>
        <v>1</v>
      </c>
      <c r="M29" s="154" t="b">
        <f t="shared" si="11"/>
        <v>1</v>
      </c>
    </row>
    <row r="30" spans="1:13" x14ac:dyDescent="0.2">
      <c r="A30" s="75" t="str">
        <f>'Amended data'!K31</f>
        <v>John</v>
      </c>
      <c r="B30" s="95" t="str">
        <f>'Amended data'!L31</f>
        <v>Percy</v>
      </c>
      <c r="C30" s="85" t="str">
        <f t="shared" si="8"/>
        <v>JohnPercy</v>
      </c>
      <c r="D30" s="38">
        <f>'Amended data'!N31</f>
        <v>8.7152777777777784E-3</v>
      </c>
      <c r="E30" s="79">
        <f t="shared" si="15"/>
        <v>3.5856573705179278</v>
      </c>
      <c r="F30" s="38">
        <f>'Amended data'!P31</f>
        <v>2.4780092592592597E-2</v>
      </c>
      <c r="G30" s="79">
        <f t="shared" si="13"/>
        <v>33.629145259224657</v>
      </c>
      <c r="H30" s="38">
        <f>'Amended data'!R31</f>
        <v>1.6250000000000001E-2</v>
      </c>
      <c r="I30" s="80">
        <f t="shared" si="14"/>
        <v>12.820512820512819</v>
      </c>
      <c r="J30" s="74"/>
      <c r="K30" s="154" t="b">
        <f t="shared" si="10"/>
        <v>1</v>
      </c>
      <c r="M30" s="154" t="b">
        <f t="shared" si="11"/>
        <v>1</v>
      </c>
    </row>
    <row r="31" spans="1:13" x14ac:dyDescent="0.2">
      <c r="A31" s="75" t="str">
        <f>'Amended data'!K32</f>
        <v>John</v>
      </c>
      <c r="B31" s="95" t="str">
        <f>'Amended data'!L32</f>
        <v>Whateley</v>
      </c>
      <c r="C31" s="85" t="str">
        <f t="shared" si="8"/>
        <v>JohnWhateley</v>
      </c>
      <c r="D31" s="38">
        <f>'Amended data'!N32</f>
        <v>7.9745370370370369E-3</v>
      </c>
      <c r="E31" s="79">
        <f t="shared" si="15"/>
        <v>3.9187227866473151</v>
      </c>
      <c r="F31" s="38">
        <f>'Amended data'!P32</f>
        <v>2.6365740740740745E-2</v>
      </c>
      <c r="G31" s="79">
        <f t="shared" si="13"/>
        <v>31.606672519754163</v>
      </c>
      <c r="H31" s="38">
        <f>'Amended data'!R32</f>
        <v>1.5706018518518518E-2</v>
      </c>
      <c r="I31" s="80">
        <f t="shared" si="14"/>
        <v>13.264554163596166</v>
      </c>
      <c r="J31" s="74"/>
      <c r="K31" s="154" t="b">
        <f t="shared" si="10"/>
        <v>1</v>
      </c>
      <c r="M31" s="154" t="b">
        <f t="shared" si="11"/>
        <v>1</v>
      </c>
    </row>
    <row r="32" spans="1:13" x14ac:dyDescent="0.2">
      <c r="A32" s="75" t="str">
        <f>'Amended data'!K33</f>
        <v>Tom</v>
      </c>
      <c r="B32" s="95" t="str">
        <f>'Amended data'!L33</f>
        <v>Dailey</v>
      </c>
      <c r="C32" s="85" t="str">
        <f t="shared" si="8"/>
        <v>TomDailey</v>
      </c>
      <c r="D32" s="38">
        <f>'Amended data'!N33</f>
        <v>7.6273148148148151E-3</v>
      </c>
      <c r="E32" s="79">
        <f t="shared" si="15"/>
        <v>4.0971168437025796</v>
      </c>
      <c r="F32" s="38">
        <f>'Amended data'!P33</f>
        <v>2.6840277777777768E-2</v>
      </c>
      <c r="G32" s="79">
        <f t="shared" si="13"/>
        <v>31.047865459249685</v>
      </c>
      <c r="H32" s="38">
        <f>'Amended data'!R33</f>
        <v>1.5810185185185184E-2</v>
      </c>
      <c r="I32" s="80">
        <f t="shared" si="14"/>
        <v>13.177159590043923</v>
      </c>
      <c r="J32" s="74"/>
      <c r="K32" s="154" t="b">
        <f t="shared" si="10"/>
        <v>1</v>
      </c>
      <c r="M32" s="154" t="b">
        <f t="shared" si="11"/>
        <v>1</v>
      </c>
    </row>
    <row r="33" spans="1:13" x14ac:dyDescent="0.2">
      <c r="A33" s="75" t="str">
        <f>'Amended data'!K34</f>
        <v>Daniel</v>
      </c>
      <c r="B33" s="95" t="str">
        <f>'Amended data'!L34</f>
        <v>Bent</v>
      </c>
      <c r="C33" s="85" t="str">
        <f t="shared" si="8"/>
        <v>DanielBent</v>
      </c>
      <c r="D33" s="38">
        <f>'Amended data'!N34</f>
        <v>1.0254629629629629E-2</v>
      </c>
      <c r="E33" s="79">
        <f t="shared" si="15"/>
        <v>3.0474040632054176</v>
      </c>
      <c r="F33" s="38">
        <f>'Amended data'!P34</f>
        <v>2.4953703703703693E-2</v>
      </c>
      <c r="G33" s="79">
        <f t="shared" si="13"/>
        <v>33.395176252319125</v>
      </c>
      <c r="H33" s="38">
        <f>'Amended data'!R34</f>
        <v>1.4652777777777778E-2</v>
      </c>
      <c r="I33" s="80">
        <f t="shared" si="14"/>
        <v>14.218009478672984</v>
      </c>
      <c r="J33" s="74"/>
      <c r="K33" s="154" t="b">
        <f t="shared" si="10"/>
        <v>1</v>
      </c>
      <c r="M33" s="154" t="b">
        <f t="shared" si="11"/>
        <v>1</v>
      </c>
    </row>
    <row r="34" spans="1:13" x14ac:dyDescent="0.2">
      <c r="A34" s="75" t="str">
        <f>'Amended data'!K35</f>
        <v>Andrew</v>
      </c>
      <c r="B34" s="95" t="str">
        <f>'Amended data'!L35</f>
        <v>Coe</v>
      </c>
      <c r="C34" s="85" t="str">
        <f t="shared" si="8"/>
        <v>AndrewCoe</v>
      </c>
      <c r="D34" s="38">
        <f>'Amended data'!N35</f>
        <v>8.611111111111111E-3</v>
      </c>
      <c r="E34" s="79">
        <f t="shared" si="15"/>
        <v>3.629032258064516</v>
      </c>
      <c r="F34" s="38">
        <f>'Amended data'!P35</f>
        <v>2.4722222222222215E-2</v>
      </c>
      <c r="G34" s="79">
        <f t="shared" si="13"/>
        <v>33.707865168539335</v>
      </c>
      <c r="H34" s="38">
        <f>'Amended data'!R35</f>
        <v>1.6527777777777777E-2</v>
      </c>
      <c r="I34" s="80">
        <f t="shared" si="14"/>
        <v>12.605042016806722</v>
      </c>
      <c r="J34" s="74"/>
      <c r="K34" s="154" t="b">
        <f t="shared" si="10"/>
        <v>1</v>
      </c>
      <c r="M34" s="154" t="b">
        <f t="shared" si="11"/>
        <v>1</v>
      </c>
    </row>
    <row r="35" spans="1:13" x14ac:dyDescent="0.2">
      <c r="A35" s="75" t="str">
        <f>'Amended data'!K36</f>
        <v>Rory</v>
      </c>
      <c r="B35" s="95" t="str">
        <f>'Amended data'!L36</f>
        <v>Taylor</v>
      </c>
      <c r="C35" s="85" t="str">
        <f t="shared" si="8"/>
        <v>RoryTaylor</v>
      </c>
      <c r="D35" s="38">
        <f>'Amended data'!N36</f>
        <v>7.7314814814814815E-3</v>
      </c>
      <c r="E35" s="79">
        <f t="shared" si="15"/>
        <v>4.0419161676646702</v>
      </c>
      <c r="F35" s="38">
        <f>'Amended data'!P36</f>
        <v>2.6643518518518525E-2</v>
      </c>
      <c r="G35" s="79">
        <f t="shared" si="13"/>
        <v>31.277150304083396</v>
      </c>
      <c r="H35" s="38">
        <f>'Amended data'!R36</f>
        <v>1.5740740740740739E-2</v>
      </c>
      <c r="I35" s="80">
        <f t="shared" si="14"/>
        <v>13.235294117647058</v>
      </c>
      <c r="J35" s="74"/>
      <c r="K35" s="154" t="b">
        <f t="shared" si="10"/>
        <v>1</v>
      </c>
      <c r="M35" s="154" t="b">
        <f t="shared" si="11"/>
        <v>1</v>
      </c>
    </row>
    <row r="36" spans="1:13" x14ac:dyDescent="0.2">
      <c r="A36" s="75" t="str">
        <f>'Amended data'!K37</f>
        <v>Robert</v>
      </c>
      <c r="B36" s="95" t="str">
        <f>'Amended data'!L37</f>
        <v>Wilkinson</v>
      </c>
      <c r="C36" s="85" t="str">
        <f t="shared" si="8"/>
        <v>RobertWilkinson</v>
      </c>
      <c r="D36" s="38">
        <f>'Amended data'!N37</f>
        <v>8.0787037037037043E-3</v>
      </c>
      <c r="E36" s="79">
        <f t="shared" si="15"/>
        <v>3.8681948424068766</v>
      </c>
      <c r="F36" s="38">
        <f>'Amended data'!P37</f>
        <v>2.5891203703703708E-2</v>
      </c>
      <c r="G36" s="79">
        <f t="shared" si="13"/>
        <v>32.185963343763959</v>
      </c>
      <c r="H36" s="38">
        <f>'Amended data'!R37</f>
        <v>1.6226851851851853E-2</v>
      </c>
      <c r="I36" s="80">
        <f t="shared" si="14"/>
        <v>12.838801711840226</v>
      </c>
      <c r="J36" s="74"/>
      <c r="K36" s="154" t="b">
        <f t="shared" si="10"/>
        <v>1</v>
      </c>
      <c r="M36" s="154" t="b">
        <f t="shared" si="11"/>
        <v>1</v>
      </c>
    </row>
    <row r="37" spans="1:13" x14ac:dyDescent="0.2">
      <c r="A37" s="75" t="str">
        <f>'Amended data'!K38</f>
        <v>Alexandra</v>
      </c>
      <c r="B37" s="95" t="str">
        <f>'Amended data'!L38</f>
        <v>Houghton</v>
      </c>
      <c r="C37" s="85" t="str">
        <f t="shared" si="8"/>
        <v>AlexandraHoughton</v>
      </c>
      <c r="D37" s="38">
        <f>'Amended data'!N38</f>
        <v>7.1759259259259259E-3</v>
      </c>
      <c r="E37" s="79">
        <f t="shared" si="15"/>
        <v>4.354838709677419</v>
      </c>
      <c r="F37" s="38">
        <f>'Amended data'!P38</f>
        <v>2.4907407407407406E-2</v>
      </c>
      <c r="G37" s="79">
        <f t="shared" si="13"/>
        <v>33.457249070631974</v>
      </c>
      <c r="H37" s="38">
        <f>'Amended data'!R38</f>
        <v>1.8749999999999999E-2</v>
      </c>
      <c r="I37" s="80">
        <f t="shared" si="14"/>
        <v>11.111111111111111</v>
      </c>
      <c r="J37" s="74"/>
      <c r="K37" s="154" t="b">
        <f t="shared" si="10"/>
        <v>1</v>
      </c>
      <c r="M37" s="154" t="b">
        <f t="shared" si="11"/>
        <v>1</v>
      </c>
    </row>
    <row r="38" spans="1:13" ht="13.5" thickBot="1" x14ac:dyDescent="0.25">
      <c r="A38" s="81" t="str">
        <f>'Amended data'!K39</f>
        <v>Scott</v>
      </c>
      <c r="B38" s="96" t="str">
        <f>'Amended data'!L39</f>
        <v>Pryde</v>
      </c>
      <c r="C38" s="90" t="str">
        <f t="shared" si="8"/>
        <v>ScottPryde</v>
      </c>
      <c r="D38" s="45">
        <f>'Amended data'!N39</f>
        <v>7.8472222222222224E-3</v>
      </c>
      <c r="E38" s="83">
        <f t="shared" si="15"/>
        <v>3.9823008849557517</v>
      </c>
      <c r="F38" s="45">
        <f>'Amended data'!P39</f>
        <v>2.8148148148148144E-2</v>
      </c>
      <c r="G38" s="83">
        <f t="shared" si="13"/>
        <v>29.60526315789474</v>
      </c>
      <c r="H38" s="45">
        <f>'Amended data'!R39</f>
        <v>1.40625E-2</v>
      </c>
      <c r="I38" s="84">
        <f t="shared" si="14"/>
        <v>14.814814814814813</v>
      </c>
      <c r="J38" s="74"/>
      <c r="K38" s="155" t="b">
        <f t="shared" si="10"/>
        <v>1</v>
      </c>
      <c r="M38" s="155" t="b">
        <f t="shared" si="11"/>
        <v>1</v>
      </c>
    </row>
    <row r="39" spans="1:13" x14ac:dyDescent="0.2">
      <c r="A39" s="85"/>
      <c r="B39" s="85"/>
      <c r="C39" s="85"/>
      <c r="D39" s="38"/>
      <c r="E39" s="79"/>
      <c r="F39" s="38"/>
      <c r="G39" s="79"/>
      <c r="H39" s="38"/>
      <c r="I39" s="79"/>
    </row>
    <row r="40" spans="1:13" x14ac:dyDescent="0.2">
      <c r="A40" s="85"/>
      <c r="B40" s="85"/>
      <c r="C40" s="85"/>
      <c r="D40" s="38"/>
      <c r="E40" s="79"/>
      <c r="F40" s="38"/>
      <c r="G40" s="79"/>
      <c r="H40" s="38"/>
      <c r="I40" s="79"/>
    </row>
    <row r="41" spans="1:13" x14ac:dyDescent="0.2">
      <c r="A41" s="85"/>
      <c r="B41" s="85"/>
      <c r="C41" s="85"/>
      <c r="D41" s="38"/>
      <c r="E41" s="79"/>
      <c r="F41" s="38"/>
      <c r="G41" s="79"/>
      <c r="H41" s="38"/>
      <c r="I41" s="79"/>
    </row>
    <row r="42" spans="1:13" x14ac:dyDescent="0.2">
      <c r="A42" s="85"/>
      <c r="B42" s="85"/>
      <c r="C42" s="85"/>
      <c r="D42" s="38"/>
      <c r="E42" s="79"/>
      <c r="F42" s="38"/>
      <c r="G42" s="79"/>
      <c r="H42" s="38"/>
      <c r="I42" s="79"/>
    </row>
    <row r="43" spans="1:13" x14ac:dyDescent="0.2">
      <c r="A43" s="85"/>
      <c r="B43" s="85"/>
      <c r="C43" s="85"/>
      <c r="D43" s="38"/>
      <c r="E43" s="79"/>
      <c r="F43" s="38"/>
      <c r="G43" s="79"/>
      <c r="H43" s="38"/>
      <c r="I43" s="79"/>
    </row>
    <row r="44" spans="1:13" x14ac:dyDescent="0.2">
      <c r="A44" s="85"/>
      <c r="B44" s="85"/>
      <c r="C44" s="85"/>
      <c r="D44" s="38"/>
      <c r="E44" s="79"/>
      <c r="F44" s="38"/>
      <c r="G44" s="79"/>
      <c r="H44" s="38"/>
      <c r="I44" s="79"/>
    </row>
    <row r="45" spans="1:13" x14ac:dyDescent="0.2">
      <c r="A45" s="85"/>
      <c r="B45" s="85"/>
      <c r="C45" s="85"/>
      <c r="D45" s="38"/>
      <c r="E45" s="79"/>
      <c r="F45" s="38"/>
      <c r="G45" s="79"/>
      <c r="H45" s="38"/>
      <c r="I45" s="79"/>
    </row>
    <row r="46" spans="1:13" x14ac:dyDescent="0.2">
      <c r="A46" s="85"/>
      <c r="B46" s="85"/>
      <c r="C46" s="85"/>
      <c r="D46" s="38"/>
      <c r="E46" s="79"/>
      <c r="F46" s="38"/>
      <c r="G46" s="79"/>
      <c r="H46" s="38"/>
      <c r="I46" s="79"/>
    </row>
    <row r="47" spans="1:13" x14ac:dyDescent="0.2">
      <c r="A47" s="85"/>
      <c r="B47" s="85"/>
      <c r="C47" s="85"/>
      <c r="D47" s="38"/>
      <c r="E47" s="79"/>
      <c r="F47" s="38"/>
      <c r="G47" s="79"/>
      <c r="H47" s="38"/>
      <c r="I47" s="79"/>
    </row>
    <row r="48" spans="1:13" x14ac:dyDescent="0.2">
      <c r="A48" s="85"/>
      <c r="B48" s="85"/>
      <c r="C48" s="85"/>
      <c r="D48" s="38"/>
      <c r="E48" s="79"/>
      <c r="F48" s="38"/>
      <c r="G48" s="79"/>
      <c r="H48" s="38"/>
      <c r="I48" s="79"/>
    </row>
    <row r="49" spans="1:9" x14ac:dyDescent="0.2">
      <c r="A49" s="85"/>
      <c r="B49" s="85"/>
      <c r="C49" s="85"/>
      <c r="D49" s="38"/>
      <c r="E49" s="79"/>
      <c r="F49" s="38"/>
      <c r="G49" s="79"/>
      <c r="H49" s="38"/>
      <c r="I49" s="79"/>
    </row>
    <row r="50" spans="1:9" x14ac:dyDescent="0.2">
      <c r="A50" s="85"/>
      <c r="B50" s="85"/>
      <c r="C50" s="85"/>
      <c r="D50" s="38"/>
      <c r="E50" s="79"/>
      <c r="F50" s="38"/>
      <c r="G50" s="79"/>
      <c r="H50" s="38"/>
      <c r="I50" s="79"/>
    </row>
    <row r="51" spans="1:9" x14ac:dyDescent="0.2">
      <c r="A51" s="85"/>
      <c r="B51" s="85"/>
      <c r="C51" s="85"/>
      <c r="D51" s="38"/>
      <c r="E51" s="79"/>
      <c r="F51" s="38"/>
      <c r="G51" s="79"/>
      <c r="H51" s="38"/>
      <c r="I51" s="79"/>
    </row>
    <row r="52" spans="1:9" x14ac:dyDescent="0.2">
      <c r="A52" s="85"/>
      <c r="B52" s="85"/>
      <c r="C52" s="85"/>
      <c r="D52" s="38"/>
      <c r="E52" s="79"/>
      <c r="F52" s="38"/>
      <c r="G52" s="79"/>
      <c r="H52" s="38"/>
      <c r="I52" s="79"/>
    </row>
    <row r="53" spans="1:9" x14ac:dyDescent="0.2">
      <c r="A53" s="85"/>
      <c r="B53" s="85"/>
      <c r="C53" s="85"/>
      <c r="D53" s="38"/>
      <c r="E53" s="79"/>
      <c r="F53" s="38"/>
      <c r="G53" s="79"/>
      <c r="H53" s="38"/>
      <c r="I53" s="79"/>
    </row>
    <row r="54" spans="1:9" x14ac:dyDescent="0.2">
      <c r="A54" s="85"/>
      <c r="B54" s="85"/>
      <c r="C54" s="85"/>
      <c r="D54" s="38"/>
      <c r="E54" s="79"/>
      <c r="F54" s="38"/>
      <c r="G54" s="79"/>
      <c r="H54" s="38"/>
      <c r="I54" s="79"/>
    </row>
    <row r="55" spans="1:9" x14ac:dyDescent="0.2">
      <c r="A55" s="85"/>
      <c r="B55" s="85"/>
      <c r="C55" s="85"/>
      <c r="D55" s="38"/>
      <c r="E55" s="79"/>
      <c r="F55" s="38"/>
      <c r="G55" s="79"/>
      <c r="H55" s="38"/>
      <c r="I55" s="79"/>
    </row>
    <row r="56" spans="1:9" x14ac:dyDescent="0.2">
      <c r="A56" s="85"/>
      <c r="B56" s="85"/>
      <c r="C56" s="85"/>
      <c r="D56" s="38"/>
      <c r="E56" s="79"/>
      <c r="F56" s="38"/>
      <c r="G56" s="79"/>
      <c r="H56" s="38"/>
      <c r="I56" s="79"/>
    </row>
    <row r="57" spans="1:9" x14ac:dyDescent="0.2">
      <c r="A57" s="85"/>
      <c r="B57" s="85"/>
      <c r="C57" s="85"/>
      <c r="D57" s="38"/>
      <c r="E57" s="79"/>
      <c r="F57" s="38"/>
      <c r="G57" s="79"/>
      <c r="H57" s="38"/>
      <c r="I57" s="79"/>
    </row>
    <row r="58" spans="1:9" x14ac:dyDescent="0.2">
      <c r="A58" s="85"/>
      <c r="B58" s="85"/>
      <c r="C58" s="85"/>
      <c r="D58" s="38"/>
      <c r="E58" s="79"/>
      <c r="F58" s="38"/>
      <c r="G58" s="79"/>
      <c r="H58" s="38"/>
      <c r="I58" s="79"/>
    </row>
    <row r="59" spans="1:9" x14ac:dyDescent="0.2">
      <c r="A59" s="85"/>
      <c r="B59" s="85"/>
      <c r="C59" s="85"/>
      <c r="D59" s="38"/>
      <c r="E59" s="79"/>
      <c r="F59" s="38"/>
      <c r="G59" s="79"/>
      <c r="H59" s="38"/>
      <c r="I59" s="79"/>
    </row>
    <row r="60" spans="1:9" x14ac:dyDescent="0.2">
      <c r="A60" s="85"/>
      <c r="B60" s="85"/>
      <c r="C60" s="85"/>
      <c r="D60" s="38"/>
      <c r="E60" s="79"/>
      <c r="F60" s="38"/>
      <c r="G60" s="79"/>
      <c r="H60" s="38"/>
      <c r="I60" s="79"/>
    </row>
    <row r="61" spans="1:9" x14ac:dyDescent="0.2">
      <c r="A61" s="85"/>
      <c r="B61" s="85"/>
      <c r="C61" s="85"/>
      <c r="D61" s="38"/>
      <c r="E61" s="79"/>
      <c r="F61" s="38"/>
      <c r="G61" s="79"/>
      <c r="H61" s="38"/>
      <c r="I61" s="79"/>
    </row>
    <row r="62" spans="1:9" x14ac:dyDescent="0.2">
      <c r="A62" s="85"/>
      <c r="B62" s="85"/>
      <c r="C62" s="85"/>
      <c r="D62" s="38"/>
      <c r="E62" s="79"/>
      <c r="F62" s="38"/>
      <c r="G62" s="79"/>
      <c r="H62" s="38"/>
      <c r="I62" s="79"/>
    </row>
    <row r="63" spans="1:9" x14ac:dyDescent="0.2">
      <c r="A63" s="85"/>
      <c r="B63" s="85"/>
      <c r="C63" s="85"/>
      <c r="D63" s="38"/>
      <c r="E63" s="79"/>
      <c r="F63" s="38"/>
      <c r="G63" s="79"/>
      <c r="H63" s="38"/>
      <c r="I63" s="79"/>
    </row>
    <row r="64" spans="1:9" x14ac:dyDescent="0.2">
      <c r="A64" s="85"/>
      <c r="B64" s="85"/>
      <c r="C64" s="85"/>
      <c r="D64" s="38"/>
      <c r="E64" s="79"/>
      <c r="F64" s="38"/>
      <c r="G64" s="79"/>
      <c r="H64" s="38"/>
      <c r="I64" s="79"/>
    </row>
    <row r="65" spans="1:9" x14ac:dyDescent="0.2">
      <c r="A65" s="85"/>
      <c r="B65" s="85"/>
      <c r="C65" s="85"/>
      <c r="D65" s="38"/>
      <c r="E65" s="79"/>
      <c r="F65" s="38"/>
      <c r="G65" s="79"/>
      <c r="H65" s="38"/>
      <c r="I65" s="79"/>
    </row>
    <row r="66" spans="1:9" x14ac:dyDescent="0.2">
      <c r="A66" s="85"/>
      <c r="B66" s="85"/>
      <c r="C66" s="85"/>
      <c r="D66" s="38"/>
      <c r="E66" s="79"/>
      <c r="F66" s="38"/>
      <c r="G66" s="79"/>
      <c r="H66" s="38"/>
      <c r="I66" s="79"/>
    </row>
    <row r="67" spans="1:9" x14ac:dyDescent="0.2">
      <c r="A67" s="85"/>
      <c r="B67" s="85"/>
      <c r="C67" s="85"/>
      <c r="D67" s="38"/>
      <c r="E67" s="79"/>
      <c r="F67" s="38"/>
      <c r="G67" s="79"/>
      <c r="H67" s="38"/>
      <c r="I67" s="79"/>
    </row>
    <row r="68" spans="1:9" x14ac:dyDescent="0.2">
      <c r="A68" s="85"/>
      <c r="B68" s="85"/>
      <c r="C68" s="85"/>
      <c r="D68" s="38"/>
      <c r="E68" s="79"/>
      <c r="F68" s="38"/>
      <c r="G68" s="79"/>
      <c r="H68" s="38"/>
      <c r="I68" s="79"/>
    </row>
    <row r="69" spans="1:9" x14ac:dyDescent="0.2">
      <c r="A69" s="85"/>
      <c r="B69" s="85"/>
      <c r="C69" s="85"/>
      <c r="D69" s="38"/>
      <c r="E69" s="79"/>
      <c r="F69" s="38"/>
      <c r="G69" s="79"/>
      <c r="H69" s="38"/>
      <c r="I69" s="79"/>
    </row>
    <row r="70" spans="1:9" x14ac:dyDescent="0.2">
      <c r="A70" s="85"/>
      <c r="B70" s="85"/>
      <c r="C70" s="85"/>
      <c r="D70" s="38"/>
      <c r="E70" s="79"/>
      <c r="F70" s="38"/>
      <c r="G70" s="79"/>
      <c r="H70" s="38"/>
      <c r="I70" s="79"/>
    </row>
    <row r="71" spans="1:9" x14ac:dyDescent="0.2">
      <c r="A71" s="85"/>
      <c r="B71" s="85"/>
      <c r="C71" s="85"/>
      <c r="D71" s="38"/>
      <c r="E71" s="79"/>
      <c r="F71" s="38"/>
      <c r="G71" s="79"/>
      <c r="H71" s="38"/>
      <c r="I71" s="79"/>
    </row>
    <row r="72" spans="1:9" x14ac:dyDescent="0.2">
      <c r="A72" s="85"/>
      <c r="B72" s="85"/>
      <c r="C72" s="85"/>
      <c r="D72" s="38"/>
      <c r="E72" s="79"/>
      <c r="F72" s="38"/>
      <c r="G72" s="79"/>
      <c r="H72" s="38"/>
      <c r="I72" s="79"/>
    </row>
    <row r="73" spans="1:9" x14ac:dyDescent="0.2">
      <c r="A73" s="85"/>
      <c r="B73" s="85"/>
      <c r="C73" s="85"/>
      <c r="D73" s="38"/>
      <c r="E73" s="79"/>
      <c r="F73" s="38"/>
      <c r="G73" s="79"/>
      <c r="H73" s="38"/>
      <c r="I73" s="79"/>
    </row>
    <row r="74" spans="1:9" x14ac:dyDescent="0.2">
      <c r="A74" s="85"/>
      <c r="B74" s="85"/>
      <c r="C74" s="85"/>
      <c r="D74" s="38"/>
      <c r="E74" s="79"/>
      <c r="F74" s="38"/>
      <c r="G74" s="79"/>
      <c r="H74" s="38"/>
      <c r="I74" s="79"/>
    </row>
    <row r="75" spans="1:9" x14ac:dyDescent="0.2">
      <c r="A75" s="85"/>
      <c r="B75" s="85"/>
      <c r="C75" s="85"/>
      <c r="D75" s="38"/>
      <c r="E75" s="79"/>
      <c r="F75" s="38"/>
      <c r="G75" s="79"/>
      <c r="H75" s="38"/>
      <c r="I75" s="79"/>
    </row>
    <row r="76" spans="1:9" x14ac:dyDescent="0.2">
      <c r="A76" s="85"/>
      <c r="B76" s="85"/>
      <c r="C76" s="85"/>
      <c r="D76" s="38"/>
      <c r="E76" s="79"/>
      <c r="F76" s="38"/>
      <c r="G76" s="79"/>
      <c r="H76" s="38"/>
      <c r="I76" s="79"/>
    </row>
    <row r="77" spans="1:9" x14ac:dyDescent="0.2">
      <c r="A77" s="85"/>
      <c r="B77" s="85"/>
      <c r="C77" s="85"/>
      <c r="D77" s="38"/>
      <c r="E77" s="79"/>
      <c r="F77" s="38"/>
      <c r="G77" s="79"/>
      <c r="H77" s="38"/>
      <c r="I77" s="79"/>
    </row>
    <row r="78" spans="1:9" x14ac:dyDescent="0.2">
      <c r="A78" s="85"/>
      <c r="B78" s="85"/>
      <c r="C78" s="85"/>
      <c r="D78" s="38"/>
      <c r="E78" s="79"/>
      <c r="F78" s="38"/>
      <c r="G78" s="79"/>
      <c r="H78" s="38"/>
      <c r="I78" s="79"/>
    </row>
    <row r="79" spans="1:9" x14ac:dyDescent="0.2">
      <c r="A79" s="85"/>
      <c r="B79" s="85"/>
      <c r="C79" s="85"/>
      <c r="D79" s="38"/>
      <c r="E79" s="79"/>
      <c r="F79" s="38"/>
      <c r="G79" s="79"/>
      <c r="H79" s="38"/>
      <c r="I79" s="79"/>
    </row>
    <row r="80" spans="1:9" x14ac:dyDescent="0.2">
      <c r="A80" s="85"/>
      <c r="B80" s="85"/>
      <c r="C80" s="85"/>
      <c r="D80" s="38"/>
      <c r="E80" s="79"/>
      <c r="F80" s="38"/>
      <c r="G80" s="79"/>
      <c r="H80" s="38"/>
      <c r="I80" s="79"/>
    </row>
    <row r="81" spans="1:9" x14ac:dyDescent="0.2">
      <c r="A81" s="85"/>
      <c r="B81" s="85"/>
      <c r="C81" s="85"/>
      <c r="D81" s="38"/>
      <c r="E81" s="79"/>
      <c r="F81" s="38"/>
      <c r="G81" s="79"/>
      <c r="H81" s="38"/>
      <c r="I81" s="79"/>
    </row>
    <row r="82" spans="1:9" x14ac:dyDescent="0.2">
      <c r="A82" s="85"/>
      <c r="B82" s="85"/>
      <c r="C82" s="85"/>
      <c r="D82" s="38"/>
      <c r="E82" s="79"/>
      <c r="F82" s="38"/>
      <c r="G82" s="79"/>
      <c r="H82" s="38"/>
      <c r="I82" s="79"/>
    </row>
    <row r="83" spans="1:9" x14ac:dyDescent="0.2">
      <c r="A83" s="85"/>
      <c r="B83" s="85"/>
      <c r="C83" s="85"/>
      <c r="D83" s="38"/>
      <c r="E83" s="79"/>
      <c r="F83" s="38"/>
      <c r="G83" s="79"/>
      <c r="H83" s="38"/>
      <c r="I83" s="79"/>
    </row>
    <row r="84" spans="1:9" x14ac:dyDescent="0.2">
      <c r="A84" s="85"/>
      <c r="B84" s="85"/>
      <c r="C84" s="85"/>
      <c r="D84" s="38"/>
      <c r="E84" s="79"/>
      <c r="F84" s="38"/>
      <c r="G84" s="79"/>
      <c r="H84" s="38"/>
      <c r="I84" s="79"/>
    </row>
    <row r="85" spans="1:9" x14ac:dyDescent="0.2">
      <c r="A85" s="85"/>
      <c r="B85" s="85"/>
      <c r="C85" s="85"/>
      <c r="D85" s="38"/>
      <c r="E85" s="79"/>
      <c r="F85" s="38"/>
      <c r="G85" s="79"/>
      <c r="H85" s="38"/>
      <c r="I85" s="79"/>
    </row>
    <row r="86" spans="1:9" x14ac:dyDescent="0.2">
      <c r="A86" s="85"/>
      <c r="B86" s="85"/>
      <c r="C86" s="85"/>
      <c r="D86" s="38"/>
      <c r="E86" s="79"/>
      <c r="F86" s="38"/>
      <c r="G86" s="79"/>
      <c r="H86" s="38"/>
      <c r="I86" s="79"/>
    </row>
    <row r="87" spans="1:9" x14ac:dyDescent="0.2">
      <c r="A87" s="85"/>
      <c r="B87" s="85"/>
      <c r="C87" s="85"/>
      <c r="D87" s="38"/>
      <c r="E87" s="79"/>
      <c r="F87" s="38"/>
      <c r="G87" s="79"/>
      <c r="H87" s="38"/>
      <c r="I87" s="79"/>
    </row>
    <row r="88" spans="1:9" x14ac:dyDescent="0.2">
      <c r="A88" s="85"/>
      <c r="B88" s="85"/>
      <c r="C88" s="85"/>
      <c r="D88" s="38"/>
      <c r="E88" s="79"/>
      <c r="F88" s="38"/>
      <c r="G88" s="79"/>
      <c r="H88" s="38"/>
      <c r="I88" s="79"/>
    </row>
    <row r="89" spans="1:9" x14ac:dyDescent="0.2">
      <c r="A89" s="85"/>
      <c r="B89" s="85"/>
      <c r="C89" s="85"/>
      <c r="D89" s="38"/>
      <c r="E89" s="79"/>
      <c r="F89" s="38"/>
      <c r="G89" s="79"/>
      <c r="H89" s="38"/>
      <c r="I89" s="79"/>
    </row>
    <row r="90" spans="1:9" x14ac:dyDescent="0.2">
      <c r="A90" s="85"/>
      <c r="B90" s="85"/>
      <c r="C90" s="85"/>
      <c r="D90" s="38"/>
      <c r="E90" s="79"/>
      <c r="F90" s="38"/>
      <c r="G90" s="79"/>
      <c r="H90" s="38"/>
      <c r="I90" s="79"/>
    </row>
    <row r="91" spans="1:9" x14ac:dyDescent="0.2">
      <c r="A91" s="85"/>
      <c r="B91" s="85"/>
      <c r="C91" s="85"/>
      <c r="D91" s="38"/>
      <c r="E91" s="79"/>
      <c r="F91" s="38"/>
      <c r="G91" s="79"/>
      <c r="H91" s="38"/>
      <c r="I91" s="79"/>
    </row>
    <row r="92" spans="1:9" x14ac:dyDescent="0.2">
      <c r="A92" s="85"/>
      <c r="B92" s="85"/>
      <c r="C92" s="85"/>
      <c r="D92" s="38"/>
      <c r="E92" s="79"/>
      <c r="F92" s="38"/>
      <c r="G92" s="79"/>
      <c r="H92" s="38"/>
      <c r="I92" s="79"/>
    </row>
    <row r="93" spans="1:9" x14ac:dyDescent="0.2">
      <c r="A93" s="85"/>
      <c r="B93" s="85"/>
      <c r="C93" s="85"/>
      <c r="D93" s="38"/>
      <c r="E93" s="79"/>
      <c r="F93" s="38"/>
      <c r="G93" s="79"/>
      <c r="H93" s="38"/>
      <c r="I93" s="79"/>
    </row>
    <row r="94" spans="1:9" x14ac:dyDescent="0.2">
      <c r="A94" s="85"/>
      <c r="B94" s="85"/>
      <c r="C94" s="85"/>
      <c r="D94" s="38"/>
      <c r="E94" s="79"/>
      <c r="F94" s="38"/>
      <c r="G94" s="79"/>
      <c r="H94" s="38"/>
      <c r="I94" s="79"/>
    </row>
    <row r="95" spans="1:9" x14ac:dyDescent="0.2">
      <c r="A95" s="85"/>
      <c r="B95" s="85"/>
      <c r="C95" s="85"/>
      <c r="D95" s="38"/>
      <c r="E95" s="79"/>
      <c r="F95" s="38"/>
      <c r="G95" s="79"/>
      <c r="H95" s="38"/>
      <c r="I95" s="79"/>
    </row>
    <row r="96" spans="1:9" x14ac:dyDescent="0.2">
      <c r="A96" s="85"/>
      <c r="B96" s="85"/>
      <c r="C96" s="85"/>
      <c r="D96" s="38"/>
      <c r="E96" s="79"/>
      <c r="F96" s="38"/>
      <c r="G96" s="79"/>
      <c r="H96" s="38"/>
      <c r="I96" s="79"/>
    </row>
    <row r="97" spans="1:9" x14ac:dyDescent="0.2">
      <c r="A97" s="85"/>
      <c r="B97" s="85"/>
      <c r="C97" s="85"/>
      <c r="D97" s="38"/>
      <c r="E97" s="79"/>
      <c r="F97" s="38"/>
      <c r="G97" s="79"/>
      <c r="H97" s="38"/>
      <c r="I97" s="79"/>
    </row>
    <row r="98" spans="1:9" x14ac:dyDescent="0.2">
      <c r="A98" s="85"/>
      <c r="B98" s="85"/>
      <c r="C98" s="85"/>
      <c r="D98" s="38"/>
      <c r="E98" s="79"/>
      <c r="F98" s="38"/>
      <c r="G98" s="79"/>
      <c r="H98" s="38"/>
      <c r="I98" s="79"/>
    </row>
    <row r="99" spans="1:9" x14ac:dyDescent="0.2">
      <c r="A99" s="85"/>
      <c r="B99" s="85"/>
      <c r="C99" s="85"/>
      <c r="D99" s="38"/>
      <c r="E99" s="79"/>
      <c r="F99" s="38"/>
      <c r="G99" s="79"/>
      <c r="H99" s="38"/>
      <c r="I99" s="79"/>
    </row>
    <row r="100" spans="1:9" x14ac:dyDescent="0.2">
      <c r="A100" s="85"/>
      <c r="B100" s="85"/>
      <c r="C100" s="85"/>
      <c r="D100" s="38"/>
      <c r="E100" s="79"/>
      <c r="F100" s="38"/>
      <c r="G100" s="79"/>
      <c r="H100" s="38"/>
      <c r="I100" s="79"/>
    </row>
    <row r="101" spans="1:9" x14ac:dyDescent="0.2">
      <c r="A101" s="85"/>
      <c r="B101" s="85"/>
      <c r="C101" s="85"/>
      <c r="D101" s="38"/>
      <c r="E101" s="79"/>
      <c r="F101" s="38"/>
      <c r="G101" s="79"/>
      <c r="H101" s="38"/>
      <c r="I101" s="79"/>
    </row>
    <row r="102" spans="1:9" x14ac:dyDescent="0.2">
      <c r="A102" s="85"/>
      <c r="B102" s="85"/>
      <c r="C102" s="85"/>
      <c r="D102" s="38"/>
      <c r="E102" s="79"/>
      <c r="F102" s="38"/>
      <c r="G102" s="79"/>
      <c r="H102" s="38"/>
      <c r="I102" s="79"/>
    </row>
    <row r="103" spans="1:9" x14ac:dyDescent="0.2">
      <c r="A103" s="85"/>
      <c r="B103" s="85"/>
      <c r="C103" s="85"/>
      <c r="D103" s="38"/>
      <c r="E103" s="79"/>
      <c r="F103" s="38"/>
      <c r="G103" s="79"/>
      <c r="H103" s="38"/>
      <c r="I103" s="79"/>
    </row>
    <row r="104" spans="1:9" x14ac:dyDescent="0.2">
      <c r="A104" s="85"/>
      <c r="B104" s="85"/>
      <c r="C104" s="85"/>
      <c r="D104" s="38"/>
      <c r="E104" s="79"/>
      <c r="F104" s="38"/>
      <c r="G104" s="79"/>
      <c r="H104" s="38"/>
      <c r="I104" s="79"/>
    </row>
    <row r="105" spans="1:9" x14ac:dyDescent="0.2">
      <c r="A105" s="85"/>
      <c r="B105" s="85"/>
      <c r="C105" s="85"/>
      <c r="D105" s="38"/>
      <c r="E105" s="79"/>
      <c r="F105" s="38"/>
      <c r="G105" s="79"/>
      <c r="H105" s="38"/>
      <c r="I105" s="79"/>
    </row>
    <row r="106" spans="1:9" x14ac:dyDescent="0.2">
      <c r="A106" s="85"/>
      <c r="B106" s="85"/>
      <c r="C106" s="85"/>
      <c r="D106" s="38"/>
      <c r="E106" s="79"/>
      <c r="F106" s="38"/>
      <c r="G106" s="79"/>
      <c r="H106" s="38"/>
      <c r="I106" s="79"/>
    </row>
    <row r="107" spans="1:9" x14ac:dyDescent="0.2">
      <c r="A107" s="85"/>
      <c r="B107" s="85"/>
      <c r="C107" s="85"/>
      <c r="D107" s="38"/>
      <c r="E107" s="79"/>
      <c r="F107" s="38"/>
      <c r="G107" s="79"/>
      <c r="H107" s="38"/>
      <c r="I107" s="79"/>
    </row>
    <row r="108" spans="1:9" x14ac:dyDescent="0.2">
      <c r="A108" s="85"/>
      <c r="B108" s="85"/>
      <c r="C108" s="85"/>
      <c r="D108" s="38"/>
      <c r="E108" s="79"/>
      <c r="F108" s="38"/>
      <c r="G108" s="79"/>
      <c r="H108" s="38"/>
      <c r="I108" s="79"/>
    </row>
    <row r="109" spans="1:9" x14ac:dyDescent="0.2">
      <c r="A109" s="85"/>
      <c r="B109" s="85"/>
      <c r="C109" s="85"/>
      <c r="D109" s="38"/>
      <c r="E109" s="79"/>
      <c r="F109" s="38"/>
      <c r="G109" s="79"/>
      <c r="H109" s="38"/>
      <c r="I109" s="79"/>
    </row>
    <row r="110" spans="1:9" x14ac:dyDescent="0.2">
      <c r="A110" s="85"/>
      <c r="B110" s="85"/>
      <c r="C110" s="85"/>
      <c r="D110" s="38"/>
      <c r="E110" s="79"/>
      <c r="F110" s="38"/>
      <c r="G110" s="79"/>
      <c r="H110" s="38"/>
      <c r="I110" s="79"/>
    </row>
    <row r="111" spans="1:9" x14ac:dyDescent="0.2">
      <c r="A111" s="85"/>
      <c r="B111" s="85"/>
      <c r="C111" s="85"/>
      <c r="D111" s="38"/>
      <c r="E111" s="79"/>
      <c r="F111" s="38"/>
      <c r="G111" s="79"/>
      <c r="H111" s="38"/>
      <c r="I111" s="79"/>
    </row>
    <row r="112" spans="1:9" x14ac:dyDescent="0.2">
      <c r="A112" s="85"/>
      <c r="B112" s="85"/>
      <c r="C112" s="85"/>
      <c r="D112" s="38"/>
      <c r="E112" s="79"/>
      <c r="F112" s="38"/>
      <c r="G112" s="79"/>
      <c r="H112" s="38"/>
      <c r="I112" s="79"/>
    </row>
    <row r="113" spans="1:9" x14ac:dyDescent="0.2">
      <c r="A113" s="85"/>
      <c r="B113" s="85"/>
      <c r="C113" s="85"/>
      <c r="D113" s="38"/>
      <c r="E113" s="79"/>
      <c r="F113" s="38"/>
      <c r="G113" s="79"/>
      <c r="H113" s="38"/>
      <c r="I113" s="79"/>
    </row>
    <row r="114" spans="1:9" x14ac:dyDescent="0.2">
      <c r="A114" s="85"/>
      <c r="B114" s="85"/>
      <c r="C114" s="85"/>
      <c r="D114" s="38"/>
      <c r="E114" s="79"/>
      <c r="F114" s="38"/>
      <c r="G114" s="79"/>
      <c r="H114" s="38"/>
      <c r="I114" s="79"/>
    </row>
    <row r="115" spans="1:9" x14ac:dyDescent="0.2">
      <c r="A115" s="85"/>
      <c r="B115" s="85"/>
      <c r="C115" s="85"/>
      <c r="D115" s="38"/>
      <c r="E115" s="79"/>
      <c r="F115" s="38"/>
      <c r="G115" s="79"/>
      <c r="H115" s="38"/>
      <c r="I115" s="79"/>
    </row>
    <row r="116" spans="1:9" x14ac:dyDescent="0.2">
      <c r="A116" s="85"/>
      <c r="B116" s="85"/>
      <c r="C116" s="85"/>
      <c r="D116" s="38"/>
      <c r="E116" s="79"/>
      <c r="F116" s="38"/>
      <c r="G116" s="79"/>
      <c r="H116" s="38"/>
      <c r="I116" s="79"/>
    </row>
    <row r="117" spans="1:9" x14ac:dyDescent="0.2">
      <c r="A117" s="85"/>
      <c r="B117" s="85"/>
      <c r="C117" s="85"/>
      <c r="D117" s="38"/>
      <c r="E117" s="79"/>
      <c r="F117" s="38"/>
      <c r="G117" s="79"/>
      <c r="H117" s="38"/>
      <c r="I117" s="79"/>
    </row>
    <row r="118" spans="1:9" x14ac:dyDescent="0.2">
      <c r="A118" s="85"/>
      <c r="B118" s="85"/>
      <c r="C118" s="85"/>
      <c r="D118" s="38"/>
      <c r="E118" s="79"/>
      <c r="F118" s="38"/>
      <c r="G118" s="79"/>
      <c r="H118" s="38"/>
      <c r="I118" s="79"/>
    </row>
    <row r="119" spans="1:9" x14ac:dyDescent="0.2">
      <c r="A119" s="85"/>
      <c r="B119" s="85"/>
      <c r="C119" s="85"/>
      <c r="D119" s="38"/>
      <c r="E119" s="79"/>
      <c r="F119" s="38"/>
      <c r="G119" s="79"/>
      <c r="H119" s="38"/>
      <c r="I119" s="79"/>
    </row>
    <row r="120" spans="1:9" x14ac:dyDescent="0.2">
      <c r="A120" s="85"/>
      <c r="B120" s="85"/>
      <c r="C120" s="85"/>
      <c r="D120" s="38"/>
      <c r="E120" s="79"/>
      <c r="F120" s="38"/>
      <c r="G120" s="79"/>
      <c r="H120" s="38"/>
      <c r="I120" s="79"/>
    </row>
    <row r="121" spans="1:9" x14ac:dyDescent="0.2">
      <c r="A121" s="85"/>
      <c r="B121" s="85"/>
      <c r="C121" s="85"/>
      <c r="D121" s="38"/>
      <c r="E121" s="79"/>
      <c r="F121" s="38"/>
      <c r="G121" s="79"/>
      <c r="H121" s="38"/>
      <c r="I121" s="79"/>
    </row>
    <row r="122" spans="1:9" x14ac:dyDescent="0.2">
      <c r="A122" s="85"/>
      <c r="B122" s="85"/>
      <c r="C122" s="85"/>
      <c r="D122" s="38"/>
      <c r="E122" s="79"/>
      <c r="F122" s="38"/>
      <c r="G122" s="79"/>
      <c r="H122" s="38"/>
      <c r="I122" s="79"/>
    </row>
    <row r="123" spans="1:9" x14ac:dyDescent="0.2">
      <c r="A123" s="85"/>
      <c r="B123" s="85"/>
      <c r="C123" s="85"/>
      <c r="D123" s="38"/>
      <c r="E123" s="79"/>
      <c r="F123" s="38"/>
      <c r="G123" s="79"/>
      <c r="H123" s="38"/>
      <c r="I123" s="79"/>
    </row>
    <row r="124" spans="1:9" x14ac:dyDescent="0.2">
      <c r="A124" s="85"/>
      <c r="B124" s="85"/>
      <c r="C124" s="85"/>
      <c r="D124" s="38"/>
      <c r="E124" s="79"/>
      <c r="F124" s="38"/>
      <c r="G124" s="79"/>
      <c r="H124" s="38"/>
      <c r="I124" s="79"/>
    </row>
    <row r="125" spans="1:9" x14ac:dyDescent="0.2">
      <c r="A125" s="85"/>
      <c r="B125" s="85"/>
      <c r="C125" s="85"/>
      <c r="D125" s="38"/>
      <c r="E125" s="79"/>
      <c r="F125" s="38"/>
      <c r="G125" s="79"/>
      <c r="H125" s="38"/>
      <c r="I125" s="79"/>
    </row>
    <row r="126" spans="1:9" x14ac:dyDescent="0.2">
      <c r="A126" s="85"/>
      <c r="B126" s="85"/>
      <c r="C126" s="85"/>
      <c r="D126" s="38"/>
      <c r="E126" s="79"/>
      <c r="F126" s="38"/>
      <c r="G126" s="79"/>
      <c r="H126" s="38"/>
      <c r="I126" s="79"/>
    </row>
    <row r="127" spans="1:9" x14ac:dyDescent="0.2">
      <c r="A127" s="85"/>
      <c r="B127" s="85"/>
      <c r="C127" s="85"/>
      <c r="D127" s="38"/>
      <c r="E127" s="79"/>
      <c r="F127" s="38"/>
      <c r="G127" s="79"/>
      <c r="H127" s="38"/>
      <c r="I127" s="79"/>
    </row>
    <row r="128" spans="1:9" x14ac:dyDescent="0.2">
      <c r="A128" s="85"/>
      <c r="B128" s="85"/>
      <c r="C128" s="85"/>
      <c r="D128" s="38"/>
      <c r="E128" s="79"/>
      <c r="F128" s="38"/>
      <c r="G128" s="79"/>
      <c r="H128" s="38"/>
      <c r="I128" s="79"/>
    </row>
    <row r="129" spans="1:9" x14ac:dyDescent="0.2">
      <c r="A129" s="85"/>
      <c r="B129" s="85"/>
      <c r="C129" s="85"/>
      <c r="D129" s="38"/>
      <c r="E129" s="79"/>
      <c r="F129" s="38"/>
      <c r="G129" s="79"/>
      <c r="H129" s="38"/>
      <c r="I129" s="79"/>
    </row>
    <row r="130" spans="1:9" x14ac:dyDescent="0.2">
      <c r="A130" s="85"/>
      <c r="B130" s="85"/>
      <c r="C130" s="85"/>
      <c r="D130" s="38"/>
      <c r="E130" s="79"/>
      <c r="F130" s="38"/>
      <c r="G130" s="79"/>
      <c r="H130" s="38"/>
      <c r="I130" s="79"/>
    </row>
    <row r="131" spans="1:9" x14ac:dyDescent="0.2">
      <c r="A131" s="85"/>
      <c r="B131" s="85"/>
      <c r="C131" s="85"/>
      <c r="D131" s="38"/>
      <c r="E131" s="79"/>
      <c r="F131" s="38"/>
      <c r="G131" s="79"/>
      <c r="H131" s="38"/>
      <c r="I131" s="79"/>
    </row>
    <row r="132" spans="1:9" x14ac:dyDescent="0.2">
      <c r="A132" s="85"/>
      <c r="B132" s="85"/>
      <c r="C132" s="85"/>
      <c r="D132" s="38"/>
      <c r="E132" s="79"/>
      <c r="F132" s="38"/>
      <c r="G132" s="79"/>
      <c r="H132" s="38"/>
      <c r="I132" s="79"/>
    </row>
    <row r="133" spans="1:9" x14ac:dyDescent="0.2">
      <c r="A133" s="85"/>
      <c r="B133" s="85"/>
      <c r="C133" s="85"/>
      <c r="D133" s="38"/>
      <c r="E133" s="79"/>
      <c r="F133" s="38"/>
      <c r="G133" s="79"/>
      <c r="H133" s="38"/>
      <c r="I133" s="79"/>
    </row>
    <row r="134" spans="1:9" x14ac:dyDescent="0.2">
      <c r="A134" s="85"/>
      <c r="B134" s="85"/>
      <c r="C134" s="85"/>
      <c r="D134" s="38"/>
      <c r="E134" s="79"/>
      <c r="F134" s="38"/>
      <c r="G134" s="79"/>
      <c r="H134" s="38"/>
      <c r="I134" s="79"/>
    </row>
    <row r="135" spans="1:9" x14ac:dyDescent="0.2">
      <c r="A135" s="85"/>
      <c r="B135" s="85"/>
      <c r="C135" s="85"/>
      <c r="D135" s="38"/>
      <c r="E135" s="79"/>
      <c r="F135" s="38"/>
      <c r="G135" s="79"/>
      <c r="H135" s="38"/>
      <c r="I135" s="79"/>
    </row>
    <row r="136" spans="1:9" x14ac:dyDescent="0.2">
      <c r="A136" s="85"/>
      <c r="B136" s="85"/>
      <c r="C136" s="85"/>
      <c r="D136" s="38"/>
      <c r="E136" s="79"/>
      <c r="F136" s="38"/>
      <c r="G136" s="79"/>
      <c r="H136" s="38"/>
      <c r="I136" s="79"/>
    </row>
    <row r="137" spans="1:9" x14ac:dyDescent="0.2">
      <c r="A137" s="85"/>
      <c r="B137" s="85"/>
      <c r="C137" s="85"/>
      <c r="D137" s="38"/>
      <c r="E137" s="79"/>
      <c r="F137" s="38"/>
      <c r="G137" s="79"/>
      <c r="H137" s="38"/>
      <c r="I137" s="79"/>
    </row>
    <row r="138" spans="1:9" x14ac:dyDescent="0.2">
      <c r="A138" s="85"/>
      <c r="B138" s="85"/>
      <c r="C138" s="85"/>
      <c r="D138" s="38"/>
      <c r="E138" s="79"/>
      <c r="F138" s="38"/>
      <c r="G138" s="79"/>
      <c r="H138" s="38"/>
      <c r="I138" s="79"/>
    </row>
    <row r="139" spans="1:9" x14ac:dyDescent="0.2">
      <c r="A139" s="85"/>
      <c r="B139" s="85"/>
      <c r="C139" s="85"/>
      <c r="D139" s="38"/>
      <c r="E139" s="79"/>
      <c r="F139" s="38"/>
      <c r="G139" s="79"/>
      <c r="H139" s="38"/>
      <c r="I139" s="79"/>
    </row>
    <row r="140" spans="1:9" x14ac:dyDescent="0.2">
      <c r="A140" s="85"/>
      <c r="B140" s="85"/>
      <c r="C140" s="85"/>
      <c r="D140" s="38"/>
      <c r="E140" s="79"/>
      <c r="F140" s="38"/>
      <c r="G140" s="79"/>
      <c r="H140" s="38"/>
      <c r="I140" s="79"/>
    </row>
    <row r="141" spans="1:9" x14ac:dyDescent="0.2">
      <c r="A141" s="85"/>
      <c r="B141" s="85"/>
      <c r="C141" s="85"/>
      <c r="D141" s="38"/>
      <c r="E141" s="79"/>
      <c r="F141" s="38"/>
      <c r="G141" s="79"/>
      <c r="H141" s="38"/>
      <c r="I141" s="79"/>
    </row>
    <row r="142" spans="1:9" x14ac:dyDescent="0.2">
      <c r="A142" s="85"/>
      <c r="B142" s="85"/>
      <c r="C142" s="85"/>
      <c r="D142" s="38"/>
      <c r="E142" s="79"/>
      <c r="F142" s="38"/>
      <c r="G142" s="79"/>
      <c r="H142" s="38"/>
      <c r="I142" s="79"/>
    </row>
    <row r="143" spans="1:9" x14ac:dyDescent="0.2">
      <c r="A143" s="85"/>
      <c r="B143" s="85"/>
      <c r="C143" s="85"/>
      <c r="D143" s="38"/>
      <c r="E143" s="79"/>
      <c r="F143" s="38"/>
      <c r="G143" s="79"/>
      <c r="H143" s="38"/>
      <c r="I143" s="79"/>
    </row>
    <row r="144" spans="1:9" x14ac:dyDescent="0.2">
      <c r="A144" s="85"/>
      <c r="B144" s="85"/>
      <c r="C144" s="85"/>
      <c r="D144" s="38"/>
      <c r="E144" s="79"/>
      <c r="F144" s="38"/>
      <c r="G144" s="79"/>
      <c r="H144" s="38"/>
      <c r="I144" s="79"/>
    </row>
    <row r="145" spans="1:9" x14ac:dyDescent="0.2">
      <c r="A145" s="85"/>
      <c r="B145" s="85"/>
      <c r="C145" s="85"/>
      <c r="D145" s="38"/>
      <c r="E145" s="79"/>
      <c r="F145" s="38"/>
      <c r="G145" s="79"/>
      <c r="H145" s="38"/>
      <c r="I145" s="79"/>
    </row>
    <row r="146" spans="1:9" x14ac:dyDescent="0.2">
      <c r="A146" s="85"/>
      <c r="B146" s="85"/>
      <c r="C146" s="85"/>
      <c r="D146" s="38"/>
      <c r="E146" s="79"/>
      <c r="F146" s="38"/>
      <c r="G146" s="79"/>
      <c r="H146" s="38"/>
      <c r="I146" s="79"/>
    </row>
    <row r="147" spans="1:9" x14ac:dyDescent="0.2">
      <c r="A147" s="85"/>
      <c r="B147" s="85"/>
      <c r="C147" s="85"/>
      <c r="D147" s="38"/>
      <c r="E147" s="79"/>
      <c r="F147" s="38"/>
      <c r="G147" s="79"/>
      <c r="H147" s="38"/>
      <c r="I147" s="79"/>
    </row>
    <row r="148" spans="1:9" x14ac:dyDescent="0.2">
      <c r="A148" s="85"/>
      <c r="B148" s="85"/>
      <c r="C148" s="85"/>
      <c r="D148" s="38"/>
      <c r="E148" s="79"/>
      <c r="F148" s="38"/>
      <c r="G148" s="79"/>
      <c r="H148" s="38"/>
      <c r="I148" s="79"/>
    </row>
    <row r="149" spans="1:9" x14ac:dyDescent="0.2">
      <c r="A149" s="85"/>
      <c r="B149" s="85"/>
      <c r="C149" s="85"/>
      <c r="D149" s="38"/>
      <c r="E149" s="79"/>
      <c r="F149" s="38"/>
      <c r="G149" s="79"/>
      <c r="H149" s="38"/>
      <c r="I149" s="79"/>
    </row>
    <row r="150" spans="1:9" x14ac:dyDescent="0.2">
      <c r="A150" s="85"/>
      <c r="B150" s="85"/>
      <c r="C150" s="85"/>
      <c r="D150" s="38"/>
      <c r="E150" s="79"/>
      <c r="F150" s="38"/>
      <c r="G150" s="79"/>
      <c r="H150" s="38"/>
      <c r="I150" s="79"/>
    </row>
    <row r="151" spans="1:9" x14ac:dyDescent="0.2">
      <c r="A151" s="85"/>
      <c r="B151" s="85"/>
      <c r="C151" s="85"/>
      <c r="D151" s="38"/>
      <c r="E151" s="79"/>
      <c r="F151" s="38"/>
      <c r="G151" s="79"/>
      <c r="H151" s="38"/>
      <c r="I151" s="79"/>
    </row>
    <row r="152" spans="1:9" x14ac:dyDescent="0.2">
      <c r="A152" s="85"/>
      <c r="B152" s="85"/>
      <c r="C152" s="85"/>
      <c r="D152" s="38"/>
      <c r="E152" s="79"/>
      <c r="F152" s="38"/>
      <c r="G152" s="79"/>
      <c r="H152" s="38"/>
      <c r="I152" s="79"/>
    </row>
    <row r="153" spans="1:9" x14ac:dyDescent="0.2">
      <c r="A153" s="85"/>
      <c r="B153" s="85"/>
      <c r="C153" s="85"/>
      <c r="D153" s="38"/>
      <c r="E153" s="79"/>
      <c r="F153" s="38"/>
      <c r="G153" s="79"/>
      <c r="H153" s="38"/>
      <c r="I153" s="79"/>
    </row>
    <row r="154" spans="1:9" x14ac:dyDescent="0.2">
      <c r="A154" s="85"/>
      <c r="B154" s="85"/>
      <c r="C154" s="85"/>
      <c r="D154" s="38"/>
      <c r="E154" s="79"/>
      <c r="F154" s="38"/>
      <c r="G154" s="79"/>
      <c r="H154" s="38"/>
      <c r="I154" s="79"/>
    </row>
    <row r="155" spans="1:9" x14ac:dyDescent="0.2">
      <c r="A155" s="85"/>
      <c r="B155" s="85"/>
      <c r="C155" s="85"/>
      <c r="D155" s="38"/>
      <c r="E155" s="79"/>
      <c r="F155" s="38"/>
      <c r="G155" s="79"/>
      <c r="H155" s="38"/>
      <c r="I155" s="79"/>
    </row>
    <row r="156" spans="1:9" x14ac:dyDescent="0.2">
      <c r="A156" s="85"/>
      <c r="B156" s="85"/>
      <c r="C156" s="85"/>
      <c r="D156" s="38"/>
      <c r="E156" s="79"/>
      <c r="F156" s="38"/>
      <c r="G156" s="79"/>
      <c r="H156" s="38"/>
      <c r="I156" s="79"/>
    </row>
    <row r="157" spans="1:9" x14ac:dyDescent="0.2">
      <c r="A157" s="85"/>
      <c r="B157" s="85"/>
      <c r="C157" s="85"/>
      <c r="D157" s="38"/>
      <c r="E157" s="79"/>
      <c r="F157" s="38"/>
      <c r="G157" s="79"/>
      <c r="H157" s="38"/>
      <c r="I157" s="79"/>
    </row>
    <row r="158" spans="1:9" x14ac:dyDescent="0.2">
      <c r="A158" s="85"/>
      <c r="B158" s="85"/>
      <c r="C158" s="85"/>
      <c r="D158" s="38"/>
      <c r="E158" s="79"/>
      <c r="F158" s="38"/>
      <c r="G158" s="79"/>
      <c r="H158" s="38"/>
      <c r="I158" s="79"/>
    </row>
    <row r="159" spans="1:9" x14ac:dyDescent="0.2">
      <c r="A159" s="85"/>
      <c r="B159" s="85"/>
      <c r="C159" s="85"/>
      <c r="D159" s="38"/>
      <c r="E159" s="79"/>
      <c r="F159" s="38"/>
      <c r="G159" s="79"/>
      <c r="H159" s="38"/>
      <c r="I159" s="79"/>
    </row>
    <row r="160" spans="1:9" x14ac:dyDescent="0.2">
      <c r="A160" s="85"/>
      <c r="B160" s="85"/>
      <c r="C160" s="85"/>
      <c r="D160" s="38"/>
      <c r="E160" s="79"/>
      <c r="F160" s="38"/>
      <c r="G160" s="79"/>
      <c r="H160" s="38"/>
      <c r="I160" s="79"/>
    </row>
    <row r="161" spans="1:9" x14ac:dyDescent="0.2">
      <c r="A161" s="85"/>
      <c r="B161" s="85"/>
      <c r="C161" s="85"/>
      <c r="D161" s="38"/>
      <c r="E161" s="79"/>
      <c r="F161" s="38"/>
      <c r="G161" s="79"/>
      <c r="H161" s="38"/>
      <c r="I161" s="79"/>
    </row>
    <row r="162" spans="1:9" x14ac:dyDescent="0.2">
      <c r="A162" s="85"/>
      <c r="B162" s="85"/>
      <c r="C162" s="85"/>
      <c r="D162" s="38"/>
      <c r="E162" s="79"/>
      <c r="F162" s="38"/>
      <c r="G162" s="79"/>
      <c r="H162" s="38"/>
      <c r="I162" s="79"/>
    </row>
    <row r="163" spans="1:9" x14ac:dyDescent="0.2">
      <c r="A163" s="85"/>
      <c r="B163" s="85"/>
      <c r="C163" s="85"/>
      <c r="D163" s="38"/>
      <c r="E163" s="79"/>
      <c r="F163" s="38"/>
      <c r="G163" s="79"/>
      <c r="H163" s="38"/>
      <c r="I163" s="79"/>
    </row>
    <row r="164" spans="1:9" x14ac:dyDescent="0.2">
      <c r="A164" s="85"/>
      <c r="B164" s="85"/>
      <c r="C164" s="85"/>
      <c r="D164" s="38"/>
      <c r="E164" s="79"/>
      <c r="F164" s="38"/>
      <c r="G164" s="79"/>
      <c r="H164" s="38"/>
      <c r="I164" s="79"/>
    </row>
    <row r="165" spans="1:9" x14ac:dyDescent="0.2">
      <c r="A165" s="85"/>
      <c r="B165" s="85"/>
      <c r="C165" s="85"/>
      <c r="D165" s="38"/>
      <c r="E165" s="79"/>
      <c r="F165" s="38"/>
      <c r="G165" s="79"/>
      <c r="H165" s="38"/>
      <c r="I165" s="79"/>
    </row>
    <row r="166" spans="1:9" x14ac:dyDescent="0.2">
      <c r="A166" s="85"/>
      <c r="B166" s="85"/>
      <c r="C166" s="85"/>
      <c r="D166" s="38"/>
      <c r="E166" s="79"/>
      <c r="F166" s="38"/>
      <c r="G166" s="79"/>
      <c r="H166" s="38"/>
      <c r="I166" s="79"/>
    </row>
    <row r="167" spans="1:9" x14ac:dyDescent="0.2">
      <c r="A167" s="85"/>
      <c r="B167" s="85"/>
      <c r="C167" s="85"/>
      <c r="D167" s="38"/>
      <c r="E167" s="79"/>
      <c r="F167" s="38"/>
      <c r="G167" s="79"/>
      <c r="H167" s="38"/>
      <c r="I167" s="79"/>
    </row>
    <row r="168" spans="1:9" x14ac:dyDescent="0.2">
      <c r="A168" s="85"/>
      <c r="B168" s="85"/>
      <c r="C168" s="85"/>
      <c r="D168" s="38"/>
      <c r="E168" s="79"/>
      <c r="F168" s="38"/>
      <c r="G168" s="79"/>
      <c r="H168" s="38"/>
      <c r="I168" s="79"/>
    </row>
    <row r="169" spans="1:9" x14ac:dyDescent="0.2">
      <c r="A169" s="85"/>
      <c r="B169" s="85"/>
      <c r="C169" s="85"/>
      <c r="D169" s="38"/>
      <c r="E169" s="79"/>
      <c r="F169" s="38"/>
      <c r="G169" s="79"/>
      <c r="H169" s="38"/>
      <c r="I169" s="79"/>
    </row>
    <row r="170" spans="1:9" x14ac:dyDescent="0.2">
      <c r="A170" s="85"/>
      <c r="B170" s="85"/>
      <c r="C170" s="85"/>
      <c r="D170" s="38"/>
      <c r="E170" s="79"/>
      <c r="F170" s="38"/>
      <c r="G170" s="79"/>
      <c r="H170" s="38"/>
      <c r="I170" s="79"/>
    </row>
    <row r="171" spans="1:9" x14ac:dyDescent="0.2">
      <c r="A171" s="85"/>
      <c r="B171" s="85"/>
      <c r="C171" s="85"/>
      <c r="D171" s="38"/>
      <c r="E171" s="79"/>
      <c r="F171" s="38"/>
      <c r="G171" s="79"/>
      <c r="H171" s="38"/>
      <c r="I171" s="79"/>
    </row>
    <row r="172" spans="1:9" x14ac:dyDescent="0.2">
      <c r="A172" s="85"/>
      <c r="B172" s="85"/>
      <c r="C172" s="85"/>
      <c r="D172" s="38"/>
      <c r="E172" s="79"/>
      <c r="F172" s="38"/>
      <c r="G172" s="79"/>
      <c r="H172" s="38"/>
      <c r="I172" s="79"/>
    </row>
    <row r="173" spans="1:9" x14ac:dyDescent="0.2">
      <c r="A173" s="85"/>
      <c r="B173" s="85"/>
      <c r="C173" s="85"/>
      <c r="D173" s="38"/>
      <c r="E173" s="79"/>
      <c r="F173" s="38"/>
      <c r="G173" s="79"/>
      <c r="H173" s="38"/>
      <c r="I173" s="79"/>
    </row>
    <row r="174" spans="1:9" x14ac:dyDescent="0.2">
      <c r="A174" s="85"/>
      <c r="B174" s="85"/>
      <c r="C174" s="85"/>
      <c r="D174" s="38"/>
      <c r="E174" s="79"/>
      <c r="F174" s="38"/>
      <c r="G174" s="79"/>
      <c r="H174" s="38"/>
      <c r="I174" s="79"/>
    </row>
    <row r="175" spans="1:9" x14ac:dyDescent="0.2">
      <c r="A175" s="85"/>
      <c r="B175" s="85"/>
      <c r="C175" s="85"/>
      <c r="D175" s="38"/>
      <c r="E175" s="79"/>
      <c r="F175" s="38"/>
      <c r="G175" s="79"/>
      <c r="H175" s="38"/>
      <c r="I175" s="79"/>
    </row>
    <row r="176" spans="1:9" x14ac:dyDescent="0.2">
      <c r="A176" s="85"/>
      <c r="B176" s="85"/>
      <c r="C176" s="85"/>
      <c r="D176" s="38"/>
      <c r="E176" s="79"/>
      <c r="F176" s="38"/>
      <c r="G176" s="79"/>
      <c r="H176" s="38"/>
      <c r="I176" s="79"/>
    </row>
    <row r="177" spans="1:9" x14ac:dyDescent="0.2">
      <c r="A177" s="85"/>
      <c r="B177" s="85"/>
      <c r="C177" s="85"/>
      <c r="D177" s="38"/>
      <c r="E177" s="79"/>
      <c r="F177" s="38"/>
      <c r="G177" s="79"/>
      <c r="H177" s="38"/>
      <c r="I177" s="79"/>
    </row>
    <row r="178" spans="1:9" x14ac:dyDescent="0.2">
      <c r="A178" s="85"/>
      <c r="B178" s="85"/>
      <c r="C178" s="85"/>
      <c r="D178" s="38"/>
      <c r="E178" s="79"/>
      <c r="F178" s="38"/>
      <c r="G178" s="79"/>
      <c r="H178" s="38"/>
      <c r="I178" s="79"/>
    </row>
    <row r="179" spans="1:9" x14ac:dyDescent="0.2">
      <c r="A179" s="85"/>
      <c r="B179" s="85"/>
      <c r="C179" s="85"/>
      <c r="D179" s="38"/>
      <c r="E179" s="79"/>
      <c r="F179" s="38"/>
      <c r="G179" s="79"/>
      <c r="H179" s="38"/>
      <c r="I179" s="7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7"/>
  <sheetViews>
    <sheetView zoomScaleNormal="100" workbookViewId="0"/>
  </sheetViews>
  <sheetFormatPr defaultRowHeight="12.75" x14ac:dyDescent="0.2"/>
  <cols>
    <col min="1" max="1" width="14.140625" bestFit="1" customWidth="1"/>
    <col min="2" max="2" width="14.85546875" bestFit="1" customWidth="1"/>
    <col min="3" max="3" width="20.140625" bestFit="1" customWidth="1"/>
    <col min="10" max="10" width="10.7109375" bestFit="1" customWidth="1"/>
    <col min="11" max="11" width="10.7109375" style="17" customWidth="1"/>
    <col min="12" max="12" width="9.5703125" customWidth="1"/>
    <col min="13" max="13" width="15.5703125" customWidth="1"/>
    <col min="15" max="15" width="9.28515625" customWidth="1"/>
    <col min="16" max="16" width="16.140625" bestFit="1" customWidth="1"/>
  </cols>
  <sheetData>
    <row r="1" spans="1:16" ht="13.5" thickBot="1" x14ac:dyDescent="0.25">
      <c r="A1" s="9" t="s">
        <v>139</v>
      </c>
    </row>
    <row r="2" spans="1:16" ht="13.5" thickBot="1" x14ac:dyDescent="0.25">
      <c r="L2" s="128" t="s">
        <v>80</v>
      </c>
      <c r="M2" s="21"/>
    </row>
    <row r="3" spans="1:16" ht="13.5" thickBot="1" x14ac:dyDescent="0.25">
      <c r="A3" s="9"/>
      <c r="K3" s="19"/>
      <c r="L3" s="22" t="s">
        <v>65</v>
      </c>
      <c r="M3" s="122">
        <f>MIN(J12:J41)</f>
        <v>0.10025114420625515</v>
      </c>
      <c r="O3" s="159"/>
      <c r="P3" s="21" t="s">
        <v>122</v>
      </c>
    </row>
    <row r="4" spans="1:16" x14ac:dyDescent="0.2">
      <c r="A4" s="9"/>
      <c r="C4" s="101" t="s">
        <v>65</v>
      </c>
      <c r="D4" s="102">
        <f t="shared" ref="D4:J4" si="0">MIN(D12:D41)</f>
        <v>2.0333857366051151</v>
      </c>
      <c r="E4" s="103">
        <f t="shared" si="0"/>
        <v>25.625500737019689</v>
      </c>
      <c r="F4" s="103">
        <f t="shared" si="0"/>
        <v>11.049642038665413</v>
      </c>
      <c r="G4" s="104">
        <f t="shared" si="0"/>
        <v>3.6842665185706371E-2</v>
      </c>
      <c r="H4" s="104">
        <f t="shared" si="0"/>
        <v>3.7587519675914734E-2</v>
      </c>
      <c r="I4" s="104">
        <f t="shared" si="0"/>
        <v>1.6661620134604951E-2</v>
      </c>
      <c r="J4" s="105">
        <f t="shared" si="0"/>
        <v>0.10025114420625515</v>
      </c>
      <c r="L4" s="22" t="s">
        <v>77</v>
      </c>
      <c r="M4" s="122">
        <f>QUARTILE($J$12:$J$41,1)</f>
        <v>0.10801654753497256</v>
      </c>
      <c r="O4" s="22" t="s">
        <v>58</v>
      </c>
      <c r="P4" s="153">
        <f>COUNTIF(O12:O41, O4)</f>
        <v>24</v>
      </c>
    </row>
    <row r="5" spans="1:16" ht="13.5" thickBot="1" x14ac:dyDescent="0.25">
      <c r="C5" s="106" t="s">
        <v>66</v>
      </c>
      <c r="D5" s="107">
        <f t="shared" ref="D5:J5" si="1">MAX(D12:D41)</f>
        <v>3.3928055793448815</v>
      </c>
      <c r="E5" s="108">
        <f t="shared" si="1"/>
        <v>33.255719206206969</v>
      </c>
      <c r="F5" s="108">
        <f t="shared" si="1"/>
        <v>15.004543254516319</v>
      </c>
      <c r="G5" s="109">
        <f t="shared" si="1"/>
        <v>6.1473825526432858E-2</v>
      </c>
      <c r="H5" s="109">
        <f t="shared" si="1"/>
        <v>4.8779534606096374E-2</v>
      </c>
      <c r="I5" s="109">
        <f t="shared" si="1"/>
        <v>2.2625167324442599E-2</v>
      </c>
      <c r="J5" s="110">
        <f t="shared" si="1"/>
        <v>0.12425399814426483</v>
      </c>
      <c r="L5" s="22" t="s">
        <v>79</v>
      </c>
      <c r="M5" s="122">
        <f>AVERAGE($J$12:$J$41)</f>
        <v>0.11198744467386761</v>
      </c>
      <c r="O5" s="23" t="s">
        <v>60</v>
      </c>
      <c r="P5" s="155">
        <f>COUNTIF(O12:O41, O5)</f>
        <v>6</v>
      </c>
    </row>
    <row r="6" spans="1:16" ht="13.5" thickBot="1" x14ac:dyDescent="0.25">
      <c r="C6" s="111" t="s">
        <v>67</v>
      </c>
      <c r="D6" s="112">
        <f t="shared" ref="D6:J6" si="2">AVERAGE(D12:D41)</f>
        <v>2.6207991066660363</v>
      </c>
      <c r="E6" s="113">
        <f t="shared" si="2"/>
        <v>28.767546451570436</v>
      </c>
      <c r="F6" s="113">
        <f t="shared" si="2"/>
        <v>13.681300194675551</v>
      </c>
      <c r="G6" s="114">
        <f t="shared" si="2"/>
        <v>4.8226192997636495E-2</v>
      </c>
      <c r="H6" s="114">
        <f t="shared" si="2"/>
        <v>4.3559268621935182E-2</v>
      </c>
      <c r="I6" s="114">
        <f t="shared" si="2"/>
        <v>1.8346658980221833E-2</v>
      </c>
      <c r="J6" s="115">
        <f t="shared" si="2"/>
        <v>0.11198744467386761</v>
      </c>
      <c r="L6" s="22" t="s">
        <v>78</v>
      </c>
      <c r="M6" s="122">
        <f>QUARTILE($J$12:$J$41,3)</f>
        <v>0.1155550395195355</v>
      </c>
    </row>
    <row r="7" spans="1:16" ht="13.5" thickBot="1" x14ac:dyDescent="0.25">
      <c r="C7" s="166" t="s">
        <v>84</v>
      </c>
      <c r="D7" s="20"/>
      <c r="E7" s="20"/>
      <c r="G7" s="176">
        <f>Hour/(D6/Swim_1)</f>
        <v>4.769537645295318E-2</v>
      </c>
      <c r="H7" s="176">
        <f>Hour/(E6/Bike_1)</f>
        <v>4.3451741777991E-2</v>
      </c>
      <c r="I7" s="176">
        <f>Hour/(F6/Run_1)</f>
        <v>1.8273117060708475E-2</v>
      </c>
      <c r="J7" s="177">
        <f>SUM(G7:I7)+'Amended data'!$O$5+'Amended data'!$Q$5</f>
        <v>0.11127555936572674</v>
      </c>
      <c r="L7" s="23" t="s">
        <v>66</v>
      </c>
      <c r="M7" s="125">
        <f>MAX(J12:J41)</f>
        <v>0.12425399814426483</v>
      </c>
    </row>
    <row r="8" spans="1:16" x14ac:dyDescent="0.2">
      <c r="C8" s="98"/>
      <c r="D8" s="20"/>
      <c r="E8" s="20"/>
      <c r="F8" s="20"/>
      <c r="G8" s="99"/>
      <c r="H8" s="99"/>
      <c r="I8" s="99"/>
      <c r="J8" s="100"/>
      <c r="L8" s="165"/>
      <c r="M8" s="165"/>
    </row>
    <row r="9" spans="1:16" ht="19.5" customHeight="1" thickBot="1" x14ac:dyDescent="0.25">
      <c r="C9" s="170" t="s">
        <v>130</v>
      </c>
      <c r="D9" s="175">
        <f>(1/(1+2*EXP(swim_param*(Parameters!$C$9-Parameters!$B$9)))+2/3)</f>
        <v>0.6672517639378267</v>
      </c>
      <c r="E9" s="175">
        <f>(1/(1+2*EXP(bike_param*(Parameters!$C$10-Parameters!$B$10)))+2/3)</f>
        <v>0.86557246933933163</v>
      </c>
      <c r="F9" s="175">
        <f>(1/(1+2*EXP(run_param*(Parameters!$C$11-Parameters!$B$11)))+2/3)</f>
        <v>0.99446778347988718</v>
      </c>
    </row>
    <row r="10" spans="1:16" x14ac:dyDescent="0.2">
      <c r="A10" s="92" t="str">
        <f>'Amended data'!K9</f>
        <v>Firstname</v>
      </c>
      <c r="B10" s="93" t="str">
        <f>'Amended data'!L9</f>
        <v>Lastname</v>
      </c>
      <c r="C10" s="93" t="str">
        <f>'Current speeds'!C8</f>
        <v>Unique identifier</v>
      </c>
      <c r="D10" s="222" t="s">
        <v>69</v>
      </c>
      <c r="E10" s="223"/>
      <c r="F10" s="224"/>
      <c r="G10" s="222" t="s">
        <v>70</v>
      </c>
      <c r="H10" s="223"/>
      <c r="I10" s="224"/>
      <c r="J10" s="93" t="s">
        <v>71</v>
      </c>
      <c r="K10" s="32" t="s">
        <v>75</v>
      </c>
      <c r="M10" s="225" t="s">
        <v>97</v>
      </c>
      <c r="O10" s="225" t="s">
        <v>121</v>
      </c>
      <c r="P10" s="225" t="s">
        <v>150</v>
      </c>
    </row>
    <row r="11" spans="1:16" ht="13.5" thickBot="1" x14ac:dyDescent="0.25">
      <c r="A11" s="81"/>
      <c r="B11" s="82"/>
      <c r="C11" s="82"/>
      <c r="D11" s="23" t="s">
        <v>58</v>
      </c>
      <c r="E11" s="36" t="s">
        <v>60</v>
      </c>
      <c r="F11" s="164" t="s">
        <v>59</v>
      </c>
      <c r="G11" s="23" t="s">
        <v>58</v>
      </c>
      <c r="H11" s="36" t="s">
        <v>60</v>
      </c>
      <c r="I11" s="164" t="s">
        <v>59</v>
      </c>
      <c r="J11" s="82"/>
      <c r="K11" s="34"/>
      <c r="M11" s="226"/>
      <c r="O11" s="226"/>
      <c r="P11" s="226"/>
    </row>
    <row r="12" spans="1:16" x14ac:dyDescent="0.2">
      <c r="A12" s="75" t="str">
        <f>'Amended data'!K10</f>
        <v>Steve</v>
      </c>
      <c r="B12" s="76" t="str">
        <f>'Amended data'!L10</f>
        <v>Greene</v>
      </c>
      <c r="C12" s="28" t="str">
        <f t="shared" ref="C12:C31" si="3">A12&amp;B12</f>
        <v>SteveGreene</v>
      </c>
      <c r="D12" s="120">
        <f>VLOOKUP($C12,'Current speeds'!$C$9:$I$38,D$43,FALSE)*D$9</f>
        <v>2.8105768527802373</v>
      </c>
      <c r="E12" s="120">
        <f>VLOOKUP($C12,'Current speeds'!$C$9:$I$38,E$43,FALSE)*E$9</f>
        <v>31.764127315204831</v>
      </c>
      <c r="F12" s="120">
        <f>VLOOKUP($C12,'Current speeds'!$C$9:$I$38,F$43,FALSE)*F$9</f>
        <v>14.061602594373895</v>
      </c>
      <c r="G12" s="121">
        <f>Hour/(D12/Swim_1)</f>
        <v>4.4474855713818796E-2</v>
      </c>
      <c r="H12" s="121">
        <f>Hour/(E12/Bike_1)</f>
        <v>3.9352568625477417E-2</v>
      </c>
      <c r="I12" s="121">
        <f t="shared" ref="I12:I41" si="4">Hour/(F12/Run_1)</f>
        <v>1.7778912348157674E-2</v>
      </c>
      <c r="J12" s="122">
        <f>SUM(G12:I12)+'Amended data'!$O$5+'Amended data'!$Q$5</f>
        <v>0.10346166076152798</v>
      </c>
      <c r="K12" s="62">
        <f>RANK(J12,$J$12:$J$41,1)</f>
        <v>2</v>
      </c>
      <c r="M12" s="126" t="b">
        <f>J12&gt;'Amended data'!M10</f>
        <v>1</v>
      </c>
      <c r="O12" s="156" t="str">
        <f t="shared" ref="O12:O41" si="5">IF(G12=P12,G$11,IF(H12=P12,H$11,IF(I12=P12,I$11,"Error")))</f>
        <v>Swim</v>
      </c>
      <c r="P12" s="200">
        <f>MAX(G12:I12)</f>
        <v>4.4474855713818796E-2</v>
      </c>
    </row>
    <row r="13" spans="1:16" x14ac:dyDescent="0.2">
      <c r="A13" s="75" t="str">
        <f>'Amended data'!K11</f>
        <v>Alan</v>
      </c>
      <c r="B13" s="76" t="str">
        <f>'Amended data'!L11</f>
        <v>Clark</v>
      </c>
      <c r="C13" s="28" t="str">
        <f t="shared" si="3"/>
        <v>AlanClark</v>
      </c>
      <c r="D13" s="120">
        <f>VLOOKUP($C13,'Current speeds'!$C$9:$I$38,D$43,FALSE)*D$9</f>
        <v>2.8326725827549248</v>
      </c>
      <c r="E13" s="120">
        <f>VLOOKUP($C13,'Current speeds'!$C$9:$I$38,E$43,FALSE)*E$9</f>
        <v>31.036463044039778</v>
      </c>
      <c r="F13" s="120">
        <f>VLOOKUP($C13,'Current speeds'!$C$9:$I$38,F$43,FALSE)*F$9</f>
        <v>14.354787572283856</v>
      </c>
      <c r="G13" s="121">
        <f t="shared" ref="G13:G41" si="6">Hour/(D13/Swim_1)</f>
        <v>4.4127937962540956E-2</v>
      </c>
      <c r="H13" s="121">
        <f t="shared" ref="H13:H41" si="7">Hour/(E13/Bike_1)</f>
        <v>4.0275207849112468E-2</v>
      </c>
      <c r="I13" s="121">
        <f t="shared" si="4"/>
        <v>1.7415792378753039E-2</v>
      </c>
      <c r="J13" s="122">
        <f>SUM(G13:I13)+'Amended data'!$O$5+'Amended data'!$Q$5</f>
        <v>0.10367426226448055</v>
      </c>
      <c r="K13" s="62">
        <f t="shared" ref="K13:K41" si="8">RANK(J13,$J$12:$J$41,1)</f>
        <v>3</v>
      </c>
      <c r="M13" s="126" t="b">
        <f>J13&gt;'Amended data'!M11</f>
        <v>1</v>
      </c>
      <c r="O13" s="157" t="str">
        <f t="shared" si="5"/>
        <v>Swim</v>
      </c>
      <c r="P13" s="201">
        <f t="shared" ref="P13:P40" si="9">MAX(G13:I13)</f>
        <v>4.4127937962540956E-2</v>
      </c>
    </row>
    <row r="14" spans="1:16" x14ac:dyDescent="0.2">
      <c r="A14" s="75" t="str">
        <f>'Amended data'!K12</f>
        <v>Nick</v>
      </c>
      <c r="B14" s="76" t="str">
        <f>'Amended data'!L12</f>
        <v>Cridlan</v>
      </c>
      <c r="C14" s="28" t="str">
        <f t="shared" si="3"/>
        <v>NickCridlan</v>
      </c>
      <c r="D14" s="120">
        <f>VLOOKUP($C14,'Current speeds'!$C$9:$I$38,D$43,FALSE)*D$9</f>
        <v>2.7379631650944254</v>
      </c>
      <c r="E14" s="120">
        <f>VLOOKUP($C14,'Current speeds'!$C$9:$I$38,E$43,FALSE)*E$9</f>
        <v>29.83303867517084</v>
      </c>
      <c r="F14" s="120">
        <f>VLOOKUP($C14,'Current speeds'!$C$9:$I$38,F$43,FALSE)*F$9</f>
        <v>14.42419025192423</v>
      </c>
      <c r="G14" s="121">
        <f t="shared" si="6"/>
        <v>4.5654376068163451E-2</v>
      </c>
      <c r="H14" s="121">
        <f t="shared" si="7"/>
        <v>4.1899855177687219E-2</v>
      </c>
      <c r="I14" s="121">
        <f t="shared" si="4"/>
        <v>1.7331995462736581E-2</v>
      </c>
      <c r="J14" s="122">
        <f>SUM(G14:I14)+'Amended data'!$O$5+'Amended data'!$Q$5</f>
        <v>0.10674155078266133</v>
      </c>
      <c r="K14" s="62">
        <f t="shared" si="8"/>
        <v>5</v>
      </c>
      <c r="M14" s="126" t="b">
        <f>J14&gt;'Amended data'!M12</f>
        <v>1</v>
      </c>
      <c r="O14" s="157" t="str">
        <f t="shared" si="5"/>
        <v>Swim</v>
      </c>
      <c r="P14" s="201">
        <f t="shared" si="9"/>
        <v>4.5654376068163451E-2</v>
      </c>
    </row>
    <row r="15" spans="1:16" x14ac:dyDescent="0.2">
      <c r="A15" s="75" t="str">
        <f>'Amended data'!K13</f>
        <v>Chris</v>
      </c>
      <c r="B15" s="76" t="str">
        <f>'Amended data'!L13</f>
        <v>Maunder</v>
      </c>
      <c r="C15" s="28" t="str">
        <f t="shared" si="3"/>
        <v>ChrisMaunder</v>
      </c>
      <c r="D15" s="120">
        <f>VLOOKUP($C15,'Current speeds'!$C$9:$I$38,D$43,FALSE)*D$9</f>
        <v>3.3928055793448815</v>
      </c>
      <c r="E15" s="120">
        <f>VLOOKUP($C15,'Current speeds'!$C$9:$I$38,E$43,FALSE)*E$9</f>
        <v>28.18689181023603</v>
      </c>
      <c r="F15" s="120">
        <f>VLOOKUP($C15,'Current speeds'!$C$9:$I$38,F$43,FALSE)*F$9</f>
        <v>14.529561771621726</v>
      </c>
      <c r="G15" s="121">
        <f t="shared" si="6"/>
        <v>3.6842665185706371E-2</v>
      </c>
      <c r="H15" s="121">
        <f t="shared" si="7"/>
        <v>4.4346854857762796E-2</v>
      </c>
      <c r="I15" s="121">
        <f t="shared" si="4"/>
        <v>1.7206300088711903E-2</v>
      </c>
      <c r="J15" s="122">
        <f>SUM(G15:I15)+'Amended data'!$O$5+'Amended data'!$Q$5</f>
        <v>0.10025114420625515</v>
      </c>
      <c r="K15" s="62">
        <f t="shared" si="8"/>
        <v>1</v>
      </c>
      <c r="M15" s="126" t="b">
        <f>J15&gt;'Amended data'!M13</f>
        <v>1</v>
      </c>
      <c r="O15" s="157" t="str">
        <f t="shared" si="5"/>
        <v>Bike</v>
      </c>
      <c r="P15" s="201">
        <f t="shared" si="9"/>
        <v>4.4346854857762796E-2</v>
      </c>
    </row>
    <row r="16" spans="1:16" x14ac:dyDescent="0.2">
      <c r="A16" s="75" t="str">
        <f>'Amended data'!K14</f>
        <v>Conal</v>
      </c>
      <c r="B16" s="76" t="str">
        <f>'Amended data'!L14</f>
        <v>Newland</v>
      </c>
      <c r="C16" s="28" t="str">
        <f t="shared" si="3"/>
        <v>ConalNewland</v>
      </c>
      <c r="D16" s="120">
        <f>VLOOKUP($C16,'Current speeds'!$C$9:$I$38,D$43,FALSE)*D$9</f>
        <v>2.9631246095923225</v>
      </c>
      <c r="E16" s="120">
        <f>VLOOKUP($C16,'Current speeds'!$C$9:$I$38,E$43,FALSE)*E$9</f>
        <v>28.865779431418186</v>
      </c>
      <c r="F16" s="120">
        <f>VLOOKUP($C16,'Current speeds'!$C$9:$I$38,F$43,FALSE)*F$9</f>
        <v>14.377847471998367</v>
      </c>
      <c r="G16" s="121">
        <f t="shared" si="6"/>
        <v>4.2185198555385071E-2</v>
      </c>
      <c r="H16" s="121">
        <f t="shared" si="7"/>
        <v>4.3303871387566653E-2</v>
      </c>
      <c r="I16" s="121">
        <f t="shared" si="4"/>
        <v>1.7387860073414221E-2</v>
      </c>
      <c r="J16" s="122">
        <f>SUM(G16:I16)+'Amended data'!$O$5+'Amended data'!$Q$5</f>
        <v>0.10473225409044003</v>
      </c>
      <c r="K16" s="62">
        <f t="shared" si="8"/>
        <v>4</v>
      </c>
      <c r="M16" s="126" t="b">
        <f>J16&gt;'Amended data'!M14</f>
        <v>1</v>
      </c>
      <c r="O16" s="157" t="str">
        <f t="shared" si="5"/>
        <v>Bike</v>
      </c>
      <c r="P16" s="201">
        <f t="shared" si="9"/>
        <v>4.3303871387566653E-2</v>
      </c>
    </row>
    <row r="17" spans="1:16" x14ac:dyDescent="0.2">
      <c r="A17" s="75" t="str">
        <f>'Amended data'!K15</f>
        <v>Richard</v>
      </c>
      <c r="B17" s="76" t="str">
        <f>'Amended data'!L15</f>
        <v>Wilks</v>
      </c>
      <c r="C17" s="28" t="str">
        <f t="shared" si="3"/>
        <v>RichardWilks</v>
      </c>
      <c r="D17" s="120">
        <f>VLOOKUP($C17,'Current speeds'!$C$9:$I$38,D$43,FALSE)*D$9</f>
        <v>2.7132225340845357</v>
      </c>
      <c r="E17" s="120">
        <f>VLOOKUP($C17,'Current speeds'!$C$9:$I$38,E$43,FALSE)*E$9</f>
        <v>29.42455986422657</v>
      </c>
      <c r="F17" s="120">
        <f>VLOOKUP($C17,'Current speeds'!$C$9:$I$38,F$43,FALSE)*F$9</f>
        <v>14.083729427724601</v>
      </c>
      <c r="G17" s="121">
        <f t="shared" si="6"/>
        <v>4.6070677369696861E-2</v>
      </c>
      <c r="H17" s="121">
        <f t="shared" si="7"/>
        <v>4.248151903606584E-2</v>
      </c>
      <c r="I17" s="121">
        <f t="shared" si="4"/>
        <v>1.7750980042818852E-2</v>
      </c>
      <c r="J17" s="122">
        <f>SUM(G17:I17)+'Amended data'!$O$5+'Amended data'!$Q$5</f>
        <v>0.10815850052265565</v>
      </c>
      <c r="K17" s="62">
        <f t="shared" si="8"/>
        <v>9</v>
      </c>
      <c r="M17" s="126" t="b">
        <f>J17&gt;'Amended data'!M15</f>
        <v>1</v>
      </c>
      <c r="O17" s="157" t="str">
        <f t="shared" si="5"/>
        <v>Swim</v>
      </c>
      <c r="P17" s="201">
        <f t="shared" si="9"/>
        <v>4.6070677369696861E-2</v>
      </c>
    </row>
    <row r="18" spans="1:16" x14ac:dyDescent="0.2">
      <c r="A18" s="75" t="str">
        <f>'Amended data'!K16</f>
        <v>Tom</v>
      </c>
      <c r="B18" s="76" t="str">
        <f>'Amended data'!L16</f>
        <v>Newman</v>
      </c>
      <c r="C18" s="28" t="str">
        <f t="shared" si="3"/>
        <v>TomNewman</v>
      </c>
      <c r="D18" s="120">
        <f>VLOOKUP($C18,'Current speeds'!$C$9:$I$38,D$43,FALSE)*D$9</f>
        <v>2.4952628291303767</v>
      </c>
      <c r="E18" s="120">
        <f>VLOOKUP($C18,'Current speeds'!$C$9:$I$38,E$43,FALSE)*E$9</f>
        <v>29.494187313029741</v>
      </c>
      <c r="F18" s="120">
        <f>VLOOKUP($C18,'Current speeds'!$C$9:$I$38,F$43,FALSE)*F$9</f>
        <v>14.184168068651324</v>
      </c>
      <c r="G18" s="121">
        <f t="shared" si="6"/>
        <v>5.0094923284519775E-2</v>
      </c>
      <c r="H18" s="121">
        <f t="shared" si="7"/>
        <v>4.2381232163931623E-2</v>
      </c>
      <c r="I18" s="121">
        <f t="shared" si="4"/>
        <v>1.7625284668794171E-2</v>
      </c>
      <c r="J18" s="122">
        <f>SUM(G18:I18)+'Amended data'!$O$5+'Amended data'!$Q$5</f>
        <v>0.11195676419131965</v>
      </c>
      <c r="K18" s="62">
        <f t="shared" si="8"/>
        <v>14</v>
      </c>
      <c r="M18" s="126" t="b">
        <f>J18&gt;'Amended data'!M16</f>
        <v>1</v>
      </c>
      <c r="O18" s="157" t="str">
        <f t="shared" si="5"/>
        <v>Swim</v>
      </c>
      <c r="P18" s="201">
        <f t="shared" si="9"/>
        <v>5.0094923284519775E-2</v>
      </c>
    </row>
    <row r="19" spans="1:16" x14ac:dyDescent="0.2">
      <c r="A19" s="75" t="str">
        <f>'Amended data'!K17</f>
        <v>Jason</v>
      </c>
      <c r="B19" s="76" t="str">
        <f>'Amended data'!L17</f>
        <v>Baggaley</v>
      </c>
      <c r="C19" s="28" t="str">
        <f t="shared" si="3"/>
        <v>JasonBaggaley</v>
      </c>
      <c r="D19" s="120">
        <f>VLOOKUP($C19,'Current speeds'!$C$9:$I$38,D$43,FALSE)*D$9</f>
        <v>2.784512770683357</v>
      </c>
      <c r="E19" s="120">
        <f>VLOOKUP($C19,'Current speeds'!$C$9:$I$38,E$43,FALSE)*E$9</f>
        <v>29.081296216720428</v>
      </c>
      <c r="F19" s="120">
        <f>VLOOKUP($C19,'Current speeds'!$C$9:$I$38,F$43,FALSE)*F$9</f>
        <v>13.706294106154647</v>
      </c>
      <c r="G19" s="121">
        <f t="shared" si="6"/>
        <v>4.4891157015352207E-2</v>
      </c>
      <c r="H19" s="121">
        <f t="shared" si="7"/>
        <v>4.2982953396737064E-2</v>
      </c>
      <c r="I19" s="121">
        <f t="shared" si="4"/>
        <v>1.8239795386248168E-2</v>
      </c>
      <c r="J19" s="122">
        <f>SUM(G19:I19)+'Amended data'!$O$5+'Amended data'!$Q$5</f>
        <v>0.10796922987241152</v>
      </c>
      <c r="K19" s="62">
        <f t="shared" si="8"/>
        <v>8</v>
      </c>
      <c r="M19" s="126" t="b">
        <f>J19&gt;'Amended data'!M17</f>
        <v>1</v>
      </c>
      <c r="O19" s="157" t="str">
        <f t="shared" si="5"/>
        <v>Swim</v>
      </c>
      <c r="P19" s="201">
        <f t="shared" si="9"/>
        <v>4.4891157015352207E-2</v>
      </c>
    </row>
    <row r="20" spans="1:16" x14ac:dyDescent="0.2">
      <c r="A20" s="75" t="str">
        <f>'Amended data'!K18</f>
        <v>James</v>
      </c>
      <c r="B20" s="76" t="str">
        <f>'Amended data'!L18</f>
        <v>Goymour</v>
      </c>
      <c r="C20" s="28" t="str">
        <f t="shared" si="3"/>
        <v>JamesGoymour</v>
      </c>
      <c r="D20" s="120">
        <f>VLOOKUP($C20,'Current speeds'!$C$9:$I$38,D$43,FALSE)*D$9</f>
        <v>2.3246190485575897</v>
      </c>
      <c r="E20" s="120">
        <f>VLOOKUP($C20,'Current speeds'!$C$9:$I$38,E$43,FALSE)*E$9</f>
        <v>28.732696077654147</v>
      </c>
      <c r="F20" s="120">
        <f>VLOOKUP($C20,'Current speeds'!$C$9:$I$38,F$43,FALSE)*F$9</f>
        <v>15.004543254516319</v>
      </c>
      <c r="G20" s="121">
        <f t="shared" si="6"/>
        <v>5.3772251448064849E-2</v>
      </c>
      <c r="H20" s="121">
        <f t="shared" si="7"/>
        <v>4.3504445131835157E-2</v>
      </c>
      <c r="I20" s="121">
        <f t="shared" si="4"/>
        <v>1.6661620134604951E-2</v>
      </c>
      <c r="J20" s="122">
        <f>SUM(G20:I20)+'Amended data'!$O$5+'Amended data'!$Q$5</f>
        <v>0.11579364078857905</v>
      </c>
      <c r="K20" s="62">
        <f t="shared" si="8"/>
        <v>24</v>
      </c>
      <c r="M20" s="126" t="b">
        <f>J20&gt;'Amended data'!M18</f>
        <v>1</v>
      </c>
      <c r="O20" s="157" t="str">
        <f t="shared" si="5"/>
        <v>Swim</v>
      </c>
      <c r="P20" s="201">
        <f t="shared" si="9"/>
        <v>5.3772251448064849E-2</v>
      </c>
    </row>
    <row r="21" spans="1:16" x14ac:dyDescent="0.2">
      <c r="A21" s="75" t="str">
        <f>'Amended data'!K19</f>
        <v>Henry</v>
      </c>
      <c r="B21" s="76" t="str">
        <f>'Amended data'!L19</f>
        <v>Franklin</v>
      </c>
      <c r="C21" s="28" t="str">
        <f t="shared" si="3"/>
        <v>HenryFranklin</v>
      </c>
      <c r="D21" s="120">
        <f>VLOOKUP($C21,'Current speeds'!$C$9:$I$38,D$43,FALSE)*D$9</f>
        <v>2.5773673285152099</v>
      </c>
      <c r="E21" s="120">
        <f>VLOOKUP($C21,'Current speeds'!$C$9:$I$38,E$43,FALSE)*E$9</f>
        <v>33.255719206206969</v>
      </c>
      <c r="F21" s="120">
        <f>VLOOKUP($C21,'Current speeds'!$C$9:$I$38,F$43,FALSE)*F$9</f>
        <v>12.868741986080495</v>
      </c>
      <c r="G21" s="121">
        <f t="shared" si="6"/>
        <v>4.8499101628641725E-2</v>
      </c>
      <c r="H21" s="121">
        <f t="shared" si="7"/>
        <v>3.7587519675914734E-2</v>
      </c>
      <c r="I21" s="121">
        <f t="shared" si="4"/>
        <v>1.9426918363147933E-2</v>
      </c>
      <c r="J21" s="122">
        <f>SUM(G21:I21)+'Amended data'!$O$5+'Amended data'!$Q$5</f>
        <v>0.10736886374177848</v>
      </c>
      <c r="K21" s="62">
        <f t="shared" si="8"/>
        <v>6</v>
      </c>
      <c r="M21" s="126" t="b">
        <f>J21&gt;'Amended data'!M19</f>
        <v>1</v>
      </c>
      <c r="O21" s="157" t="str">
        <f t="shared" si="5"/>
        <v>Swim</v>
      </c>
      <c r="P21" s="201">
        <f t="shared" si="9"/>
        <v>4.8499101628641725E-2</v>
      </c>
    </row>
    <row r="22" spans="1:16" x14ac:dyDescent="0.2">
      <c r="A22" s="75" t="str">
        <f>'Amended data'!K20</f>
        <v>Martin</v>
      </c>
      <c r="B22" s="76" t="str">
        <f>'Amended data'!L20</f>
        <v>Pitts</v>
      </c>
      <c r="C22" s="28" t="str">
        <f t="shared" si="3"/>
        <v>MartinPitts</v>
      </c>
      <c r="D22" s="120">
        <f>VLOOKUP($C22,'Current speeds'!$C$9:$I$38,D$43,FALSE)*D$9</f>
        <v>2.7931469188095068</v>
      </c>
      <c r="E22" s="120">
        <f>VLOOKUP($C22,'Current speeds'!$C$9:$I$38,E$43,FALSE)*E$9</f>
        <v>29.12206438898685</v>
      </c>
      <c r="F22" s="120">
        <f>VLOOKUP($C22,'Current speeds'!$C$9:$I$38,F$43,FALSE)*F$9</f>
        <v>13.200899780706466</v>
      </c>
      <c r="G22" s="121">
        <f t="shared" si="6"/>
        <v>4.4752389914841074E-2</v>
      </c>
      <c r="H22" s="121">
        <f t="shared" si="7"/>
        <v>4.2922781273456528E-2</v>
      </c>
      <c r="I22" s="121">
        <f t="shared" si="4"/>
        <v>1.893810301971862E-2</v>
      </c>
      <c r="J22" s="122">
        <f>SUM(G22:I22)+'Amended data'!$O$5+'Amended data'!$Q$5</f>
        <v>0.10846859828209031</v>
      </c>
      <c r="K22" s="62">
        <f t="shared" si="8"/>
        <v>10</v>
      </c>
      <c r="M22" s="126" t="b">
        <f>J22&gt;'Amended data'!M20</f>
        <v>1</v>
      </c>
      <c r="O22" s="157" t="str">
        <f t="shared" si="5"/>
        <v>Swim</v>
      </c>
      <c r="P22" s="201">
        <f t="shared" si="9"/>
        <v>4.4752389914841074E-2</v>
      </c>
    </row>
    <row r="23" spans="1:16" x14ac:dyDescent="0.2">
      <c r="A23" s="75" t="str">
        <f>'Amended data'!K21</f>
        <v>Chris</v>
      </c>
      <c r="B23" s="76" t="str">
        <f>'Amended data'!L21</f>
        <v>Rees</v>
      </c>
      <c r="C23" s="28" t="str">
        <f t="shared" si="3"/>
        <v>ChrisRees</v>
      </c>
      <c r="D23" s="120">
        <f>VLOOKUP($C23,'Current speeds'!$C$9:$I$38,D$43,FALSE)*D$9</f>
        <v>2.3427565183772852</v>
      </c>
      <c r="E23" s="120">
        <f>VLOOKUP($C23,'Current speeds'!$C$9:$I$38,E$43,FALSE)*E$9</f>
        <v>29.382940967671782</v>
      </c>
      <c r="F23" s="120">
        <f>VLOOKUP($C23,'Current speeds'!$C$9:$I$38,F$43,FALSE)*F$9</f>
        <v>13.887059815855679</v>
      </c>
      <c r="G23" s="121">
        <f t="shared" si="6"/>
        <v>5.3355950146531439E-2</v>
      </c>
      <c r="H23" s="121">
        <f t="shared" si="7"/>
        <v>4.2541691159346404E-2</v>
      </c>
      <c r="I23" s="121">
        <f t="shared" si="4"/>
        <v>1.8002370790868215E-2</v>
      </c>
      <c r="J23" s="122">
        <f>SUM(G23:I23)+'Amended data'!$O$5+'Amended data'!$Q$5</f>
        <v>0.11575533617082014</v>
      </c>
      <c r="K23" s="62">
        <f t="shared" si="8"/>
        <v>23</v>
      </c>
      <c r="M23" s="126" t="b">
        <f>J23&gt;'Amended data'!M21</f>
        <v>1</v>
      </c>
      <c r="O23" s="157" t="str">
        <f t="shared" si="5"/>
        <v>Swim</v>
      </c>
      <c r="P23" s="201">
        <f t="shared" si="9"/>
        <v>5.3355950146531439E-2</v>
      </c>
    </row>
    <row r="24" spans="1:16" x14ac:dyDescent="0.2">
      <c r="A24" s="75" t="str">
        <f>'Amended data'!K22</f>
        <v>Melissa</v>
      </c>
      <c r="B24" s="76" t="str">
        <f>'Amended data'!L22</f>
        <v>Brand</v>
      </c>
      <c r="C24" s="28" t="str">
        <f t="shared" si="3"/>
        <v>MelissaBrand</v>
      </c>
      <c r="D24" s="120">
        <f>VLOOKUP($C24,'Current speeds'!$C$9:$I$38,D$43,FALSE)*D$9</f>
        <v>2.5884766704484656</v>
      </c>
      <c r="E24" s="120">
        <f>VLOOKUP($C24,'Current speeds'!$C$9:$I$38,E$43,FALSE)*E$9</f>
        <v>29.258787695977411</v>
      </c>
      <c r="F24" s="120">
        <f>VLOOKUP($C24,'Current speeds'!$C$9:$I$38,F$43,FALSE)*F$9</f>
        <v>13.066000074918225</v>
      </c>
      <c r="G24" s="121">
        <f t="shared" si="6"/>
        <v>4.8290950977875009E-2</v>
      </c>
      <c r="H24" s="121">
        <f t="shared" si="7"/>
        <v>4.2722207529188025E-2</v>
      </c>
      <c r="I24" s="121">
        <f t="shared" si="4"/>
        <v>1.9133629157090343E-2</v>
      </c>
      <c r="J24" s="122">
        <f>SUM(G24:I24)+'Amended data'!$O$5+'Amended data'!$Q$5</f>
        <v>0.11200211173822747</v>
      </c>
      <c r="K24" s="62">
        <f t="shared" si="8"/>
        <v>15</v>
      </c>
      <c r="M24" s="126" t="b">
        <f>J24&gt;'Amended data'!M22</f>
        <v>1</v>
      </c>
      <c r="O24" s="157" t="str">
        <f t="shared" si="5"/>
        <v>Swim</v>
      </c>
      <c r="P24" s="201">
        <f t="shared" si="9"/>
        <v>4.8290950977875009E-2</v>
      </c>
    </row>
    <row r="25" spans="1:16" x14ac:dyDescent="0.2">
      <c r="A25" s="75" t="str">
        <f>'Amended data'!K23</f>
        <v>Richard</v>
      </c>
      <c r="B25" s="76" t="str">
        <f>'Amended data'!L23</f>
        <v>Bashford</v>
      </c>
      <c r="C25" s="28" t="str">
        <f t="shared" si="3"/>
        <v>RichardBashford</v>
      </c>
      <c r="D25" s="120">
        <f>VLOOKUP($C25,'Current speeds'!$C$9:$I$38,D$43,FALSE)*D$9</f>
        <v>2.4247372309988315</v>
      </c>
      <c r="E25" s="120">
        <f>VLOOKUP($C25,'Current speeds'!$C$9:$I$38,E$43,FALSE)*E$9</f>
        <v>28.18689181023603</v>
      </c>
      <c r="F25" s="120">
        <f>VLOOKUP($C25,'Current speeds'!$C$9:$I$38,F$43,FALSE)*F$9</f>
        <v>14.534889810408536</v>
      </c>
      <c r="G25" s="121">
        <f t="shared" si="6"/>
        <v>5.1551977839886694E-2</v>
      </c>
      <c r="H25" s="121">
        <f t="shared" si="7"/>
        <v>4.4346854857762796E-2</v>
      </c>
      <c r="I25" s="121">
        <f t="shared" si="4"/>
        <v>1.7199992793957973E-2</v>
      </c>
      <c r="J25" s="122">
        <f>SUM(G25:I25)+'Amended data'!$O$5+'Amended data'!$Q$5</f>
        <v>0.11495414956568155</v>
      </c>
      <c r="K25" s="62">
        <f t="shared" si="8"/>
        <v>22</v>
      </c>
      <c r="M25" s="126" t="b">
        <f>J25&gt;'Amended data'!M23</f>
        <v>1</v>
      </c>
      <c r="O25" s="157" t="str">
        <f t="shared" si="5"/>
        <v>Swim</v>
      </c>
      <c r="P25" s="201">
        <f t="shared" si="9"/>
        <v>5.1551977839886694E-2</v>
      </c>
    </row>
    <row r="26" spans="1:16" x14ac:dyDescent="0.2">
      <c r="A26" s="75" t="str">
        <f>'Amended data'!K24</f>
        <v>Neil</v>
      </c>
      <c r="B26" s="76" t="str">
        <f>'Amended data'!L24</f>
        <v>Kerfoot</v>
      </c>
      <c r="C26" s="28" t="str">
        <f t="shared" si="3"/>
        <v>NeilKerfoot</v>
      </c>
      <c r="D26" s="120">
        <f>VLOOKUP($C26,'Current speeds'!$C$9:$I$38,D$43,FALSE)*D$9</f>
        <v>2.7379631650944254</v>
      </c>
      <c r="E26" s="120">
        <f>VLOOKUP($C26,'Current speeds'!$C$9:$I$38,E$43,FALSE)*E$9</f>
        <v>28.379425224240386</v>
      </c>
      <c r="F26" s="120">
        <f>VLOOKUP($C26,'Current speeds'!$C$9:$I$38,F$43,FALSE)*F$9</f>
        <v>13.269399631310575</v>
      </c>
      <c r="G26" s="121">
        <f t="shared" si="6"/>
        <v>4.5654376068163451E-2</v>
      </c>
      <c r="H26" s="121">
        <f t="shared" si="7"/>
        <v>4.4045994241360041E-2</v>
      </c>
      <c r="I26" s="121">
        <f t="shared" si="4"/>
        <v>1.8840339951032761E-2</v>
      </c>
      <c r="J26" s="122">
        <f>SUM(G26:I26)+'Amended data'!$O$5+'Amended data'!$Q$5</f>
        <v>0.11039603433463034</v>
      </c>
      <c r="K26" s="62">
        <f t="shared" si="8"/>
        <v>11</v>
      </c>
      <c r="M26" s="126" t="b">
        <f>J26&gt;'Amended data'!M24</f>
        <v>1</v>
      </c>
      <c r="O26" s="157" t="str">
        <f t="shared" si="5"/>
        <v>Swim</v>
      </c>
      <c r="P26" s="201">
        <f t="shared" si="9"/>
        <v>4.5654376068163451E-2</v>
      </c>
    </row>
    <row r="27" spans="1:16" x14ac:dyDescent="0.2">
      <c r="A27" s="75" t="str">
        <f>'Amended data'!K25</f>
        <v>John</v>
      </c>
      <c r="B27" s="76" t="str">
        <f>'Amended data'!L25</f>
        <v>Williams</v>
      </c>
      <c r="C27" s="28" t="str">
        <f t="shared" si="3"/>
        <v>JohnWilliams</v>
      </c>
      <c r="D27" s="120">
        <f>VLOOKUP($C27,'Current speeds'!$C$9:$I$38,D$43,FALSE)*D$9</f>
        <v>2.9437577820786469</v>
      </c>
      <c r="E27" s="120">
        <f>VLOOKUP($C27,'Current speeds'!$C$9:$I$38,E$43,FALSE)*E$9</f>
        <v>27.167052219891847</v>
      </c>
      <c r="F27" s="120">
        <f>VLOOKUP($C27,'Current speeds'!$C$9:$I$38,F$43,FALSE)*F$9</f>
        <v>14.320336082110375</v>
      </c>
      <c r="G27" s="121">
        <f t="shared" si="6"/>
        <v>4.2462732756407343E-2</v>
      </c>
      <c r="H27" s="121">
        <f t="shared" si="7"/>
        <v>4.6011616935191221E-2</v>
      </c>
      <c r="I27" s="121">
        <f t="shared" si="4"/>
        <v>1.7457690836761266E-2</v>
      </c>
      <c r="J27" s="122">
        <f>SUM(G27:I27)+'Amended data'!$O$5+'Amended data'!$Q$5</f>
        <v>0.10778736460243392</v>
      </c>
      <c r="K27" s="62">
        <f t="shared" si="8"/>
        <v>7</v>
      </c>
      <c r="M27" s="126" t="b">
        <f>J27&gt;'Amended data'!M25</f>
        <v>1</v>
      </c>
      <c r="O27" s="157" t="str">
        <f t="shared" si="5"/>
        <v>Bike</v>
      </c>
      <c r="P27" s="201">
        <f t="shared" si="9"/>
        <v>4.6011616935191221E-2</v>
      </c>
    </row>
    <row r="28" spans="1:16" x14ac:dyDescent="0.2">
      <c r="A28" s="75" t="str">
        <f>'Amended data'!K26</f>
        <v>David</v>
      </c>
      <c r="B28" s="76" t="str">
        <f>'Amended data'!L26</f>
        <v>Hall</v>
      </c>
      <c r="C28" s="28" t="str">
        <f t="shared" si="3"/>
        <v>DavidHall</v>
      </c>
      <c r="D28" s="120">
        <f>VLOOKUP($C28,'Current speeds'!$C$9:$I$38,D$43,FALSE)*D$9</f>
        <v>2.6729670068725992</v>
      </c>
      <c r="E28" s="120">
        <f>VLOOKUP($C28,'Current speeds'!$C$9:$I$38,E$43,FALSE)*E$9</f>
        <v>27.959272226304105</v>
      </c>
      <c r="F28" s="120">
        <f>VLOOKUP($C28,'Current speeds'!$C$9:$I$38,F$43,FALSE)*F$9</f>
        <v>13.338614085423224</v>
      </c>
      <c r="G28" s="121">
        <f t="shared" si="6"/>
        <v>4.6764512872252535E-2</v>
      </c>
      <c r="H28" s="121">
        <f t="shared" si="7"/>
        <v>4.470788759744608E-2</v>
      </c>
      <c r="I28" s="121">
        <f t="shared" si="4"/>
        <v>1.8742576882346897E-2</v>
      </c>
      <c r="J28" s="122">
        <f>SUM(G28:I28)+'Amended data'!$O$5+'Amended data'!$Q$5</f>
        <v>0.11207030142611961</v>
      </c>
      <c r="K28" s="62">
        <f t="shared" si="8"/>
        <v>16</v>
      </c>
      <c r="M28" s="126" t="b">
        <f>J28&gt;'Amended data'!M26</f>
        <v>1</v>
      </c>
      <c r="O28" s="157" t="str">
        <f t="shared" si="5"/>
        <v>Swim</v>
      </c>
      <c r="P28" s="201">
        <f t="shared" si="9"/>
        <v>4.6764512872252535E-2</v>
      </c>
    </row>
    <row r="29" spans="1:16" x14ac:dyDescent="0.2">
      <c r="A29" s="75" t="str">
        <f>'Amended data'!K27</f>
        <v>Philip</v>
      </c>
      <c r="B29" s="76" t="str">
        <f>'Amended data'!L27</f>
        <v>Morton</v>
      </c>
      <c r="C29" s="28" t="str">
        <f t="shared" si="3"/>
        <v>PhilipMorton</v>
      </c>
      <c r="D29" s="120">
        <f>VLOOKUP($C29,'Current speeds'!$C$9:$I$38,D$43,FALSE)*D$9</f>
        <v>2.7421305367307944</v>
      </c>
      <c r="E29" s="120">
        <f>VLOOKUP($C29,'Current speeds'!$C$9:$I$38,E$43,FALSE)*E$9</f>
        <v>27.896695520336561</v>
      </c>
      <c r="F29" s="120">
        <f>VLOOKUP($C29,'Current speeds'!$C$9:$I$38,F$43,FALSE)*F$9</f>
        <v>13.398518040896683</v>
      </c>
      <c r="G29" s="121">
        <f t="shared" si="6"/>
        <v>4.5584992517907881E-2</v>
      </c>
      <c r="H29" s="121">
        <f t="shared" si="7"/>
        <v>4.4808174469580304E-2</v>
      </c>
      <c r="I29" s="121">
        <f t="shared" si="4"/>
        <v>1.865877996633044E-2</v>
      </c>
      <c r="J29" s="122">
        <f>SUM(G29:I29)+'Amended data'!$O$5+'Amended data'!$Q$5</f>
        <v>0.1109072710278927</v>
      </c>
      <c r="K29" s="62">
        <f t="shared" si="8"/>
        <v>13</v>
      </c>
      <c r="M29" s="126" t="b">
        <f>J29&gt;'Amended data'!M27</f>
        <v>1</v>
      </c>
      <c r="O29" s="157" t="str">
        <f t="shared" si="5"/>
        <v>Swim</v>
      </c>
      <c r="P29" s="201">
        <f t="shared" si="9"/>
        <v>4.5584992517907881E-2</v>
      </c>
    </row>
    <row r="30" spans="1:16" x14ac:dyDescent="0.2">
      <c r="A30" s="75" t="str">
        <f>'Amended data'!K28</f>
        <v>Rowen</v>
      </c>
      <c r="B30" s="76" t="str">
        <f>'Amended data'!L28</f>
        <v>Grandison</v>
      </c>
      <c r="C30" s="28" t="str">
        <f t="shared" si="3"/>
        <v>RowenGrandison</v>
      </c>
      <c r="D30" s="120">
        <f>VLOOKUP($C30,'Current speeds'!$C$9:$I$38,D$43,FALSE)*D$9</f>
        <v>2.0924271342998049</v>
      </c>
      <c r="E30" s="120">
        <f>VLOOKUP($C30,'Current speeds'!$C$9:$I$38,E$43,FALSE)*E$9</f>
        <v>29.300055379610665</v>
      </c>
      <c r="F30" s="120">
        <f>VLOOKUP($C30,'Current speeds'!$C$9:$I$38,F$43,FALSE)*F$9</f>
        <v>13.952003197691322</v>
      </c>
      <c r="G30" s="121">
        <f t="shared" si="6"/>
        <v>5.9739236770043669E-2</v>
      </c>
      <c r="H30" s="121">
        <f t="shared" si="7"/>
        <v>4.2662035405907475E-2</v>
      </c>
      <c r="I30" s="121">
        <f t="shared" si="4"/>
        <v>1.7918573874851761E-2</v>
      </c>
      <c r="J30" s="122">
        <f>SUM(G30:I30)+'Amended data'!$O$5+'Amended data'!$Q$5</f>
        <v>0.12217517012487698</v>
      </c>
      <c r="K30" s="62">
        <f t="shared" si="8"/>
        <v>29</v>
      </c>
      <c r="M30" s="126" t="b">
        <f>J30&gt;'Amended data'!M28</f>
        <v>1</v>
      </c>
      <c r="O30" s="157" t="str">
        <f t="shared" si="5"/>
        <v>Swim</v>
      </c>
      <c r="P30" s="201">
        <f t="shared" si="9"/>
        <v>5.9739236770043669E-2</v>
      </c>
    </row>
    <row r="31" spans="1:16" x14ac:dyDescent="0.2">
      <c r="A31" s="75" t="str">
        <f>'Amended data'!K29</f>
        <v>Matt</v>
      </c>
      <c r="B31" s="76" t="str">
        <f>'Amended data'!L29</f>
        <v>Battensby</v>
      </c>
      <c r="C31" s="28" t="str">
        <f t="shared" si="3"/>
        <v>MattBattensby</v>
      </c>
      <c r="D31" s="120">
        <f>VLOOKUP($C31,'Current speeds'!$C$9:$I$38,D$43,FALSE)*D$9</f>
        <v>2.3126826221208372</v>
      </c>
      <c r="E31" s="120">
        <f>VLOOKUP($C31,'Current speeds'!$C$9:$I$38,E$43,FALSE)*E$9</f>
        <v>27.698319018858605</v>
      </c>
      <c r="F31" s="120">
        <f>VLOOKUP($C31,'Current speeds'!$C$9:$I$38,F$43,FALSE)*F$9</f>
        <v>14.954402759096048</v>
      </c>
      <c r="G31" s="121">
        <f t="shared" si="6"/>
        <v>5.404978564908712E-2</v>
      </c>
      <c r="H31" s="121">
        <f t="shared" si="7"/>
        <v>4.51290924604099E-2</v>
      </c>
      <c r="I31" s="121">
        <f t="shared" si="4"/>
        <v>1.6717484745282587E-2</v>
      </c>
      <c r="J31" s="122">
        <f>SUM(G31:I31)+'Amended data'!$O$5+'Amended data'!$Q$5</f>
        <v>0.1177516869288537</v>
      </c>
      <c r="K31" s="62">
        <f t="shared" si="8"/>
        <v>27</v>
      </c>
      <c r="M31" s="126" t="b">
        <f>J31&gt;'Amended data'!M29</f>
        <v>1</v>
      </c>
      <c r="O31" s="157" t="str">
        <f t="shared" si="5"/>
        <v>Swim</v>
      </c>
      <c r="P31" s="201">
        <f t="shared" si="9"/>
        <v>5.404978564908712E-2</v>
      </c>
    </row>
    <row r="32" spans="1:16" x14ac:dyDescent="0.2">
      <c r="A32" s="75" t="str">
        <f>'Amended data'!K30</f>
        <v>Robert</v>
      </c>
      <c r="B32" s="76" t="str">
        <f>'Amended data'!L30</f>
        <v>Grande</v>
      </c>
      <c r="C32" s="28" t="str">
        <f t="shared" ref="C32:C41" si="10">A32&amp;B32</f>
        <v>RobertGrande</v>
      </c>
      <c r="D32" s="120">
        <f>VLOOKUP($C32,'Current speeds'!$C$9:$I$38,D$43,FALSE)*D$9</f>
        <v>2.3038104381485067</v>
      </c>
      <c r="E32" s="120">
        <f>VLOOKUP($C32,'Current speeds'!$C$9:$I$38,E$43,FALSE)*E$9</f>
        <v>28.059980996142208</v>
      </c>
      <c r="F32" s="120">
        <f>VLOOKUP($C32,'Current speeds'!$C$9:$I$38,F$43,FALSE)*F$9</f>
        <v>13.489389677948733</v>
      </c>
      <c r="G32" s="121">
        <f t="shared" si="6"/>
        <v>5.4257936299853822E-2</v>
      </c>
      <c r="H32" s="121">
        <f t="shared" si="7"/>
        <v>4.4547428602031293E-2</v>
      </c>
      <c r="I32" s="121">
        <f t="shared" si="4"/>
        <v>1.8533084592305758E-2</v>
      </c>
      <c r="J32" s="122">
        <f>SUM(G32:I32)+'Amended data'!$O$5+'Amended data'!$Q$5</f>
        <v>0.11919377356826495</v>
      </c>
      <c r="K32" s="62">
        <f t="shared" si="8"/>
        <v>28</v>
      </c>
      <c r="M32" s="126" t="b">
        <f>J32&gt;'Amended data'!M30</f>
        <v>1</v>
      </c>
      <c r="O32" s="157" t="str">
        <f t="shared" si="5"/>
        <v>Swim</v>
      </c>
      <c r="P32" s="201">
        <f t="shared" si="9"/>
        <v>5.4257936299853822E-2</v>
      </c>
    </row>
    <row r="33" spans="1:16" x14ac:dyDescent="0.2">
      <c r="A33" s="75" t="str">
        <f>'Amended data'!K31</f>
        <v>John</v>
      </c>
      <c r="B33" s="76" t="str">
        <f>'Amended data'!L31</f>
        <v>Percy</v>
      </c>
      <c r="C33" s="28" t="str">
        <f t="shared" si="10"/>
        <v>JohnPercy</v>
      </c>
      <c r="D33" s="120">
        <f>VLOOKUP($C33,'Current speeds'!$C$9:$I$38,D$43,FALSE)*D$9</f>
        <v>2.392536205354757</v>
      </c>
      <c r="E33" s="120">
        <f>VLOOKUP($C33,'Current speeds'!$C$9:$I$38,E$43,FALSE)*E$9</f>
        <v>29.108462303798163</v>
      </c>
      <c r="F33" s="120">
        <f>VLOOKUP($C33,'Current speeds'!$C$9:$I$38,F$43,FALSE)*F$9</f>
        <v>12.74958696769086</v>
      </c>
      <c r="G33" s="121">
        <f t="shared" si="6"/>
        <v>5.2245813342442368E-2</v>
      </c>
      <c r="H33" s="121">
        <f t="shared" si="7"/>
        <v>4.2942838647883369E-2</v>
      </c>
      <c r="I33" s="121">
        <f t="shared" si="4"/>
        <v>1.9608478347850254E-2</v>
      </c>
      <c r="J33" s="122">
        <f>SUM(G33:I33)+'Amended data'!$O$5+'Amended data'!$Q$5</f>
        <v>0.11665245441225007</v>
      </c>
      <c r="K33" s="62">
        <f t="shared" si="8"/>
        <v>26</v>
      </c>
      <c r="M33" s="126" t="b">
        <f>J33&gt;'Amended data'!M31</f>
        <v>1</v>
      </c>
      <c r="O33" s="157" t="str">
        <f t="shared" si="5"/>
        <v>Swim</v>
      </c>
      <c r="P33" s="201">
        <f t="shared" si="9"/>
        <v>5.2245813342442368E-2</v>
      </c>
    </row>
    <row r="34" spans="1:16" x14ac:dyDescent="0.2">
      <c r="A34" s="75" t="str">
        <f>'Amended data'!K32</f>
        <v>John</v>
      </c>
      <c r="B34" s="76" t="str">
        <f>'Amended data'!L32</f>
        <v>Whateley</v>
      </c>
      <c r="C34" s="28" t="str">
        <f t="shared" si="10"/>
        <v>JohnWhateley</v>
      </c>
      <c r="D34" s="120">
        <f>VLOOKUP($C34,'Current speeds'!$C$9:$I$38,D$43,FALSE)*D$9</f>
        <v>2.6147746917737766</v>
      </c>
      <c r="E34" s="120">
        <f>VLOOKUP($C34,'Current speeds'!$C$9:$I$38,E$43,FALSE)*E$9</f>
        <v>27.357865580523207</v>
      </c>
      <c r="F34" s="120">
        <f>VLOOKUP($C34,'Current speeds'!$C$9:$I$38,F$43,FALSE)*F$9</f>
        <v>13.191171777920388</v>
      </c>
      <c r="G34" s="121">
        <f t="shared" si="6"/>
        <v>4.7805266126086036E-2</v>
      </c>
      <c r="H34" s="121">
        <f t="shared" si="7"/>
        <v>4.5690698944361667E-2</v>
      </c>
      <c r="I34" s="121">
        <f t="shared" si="4"/>
        <v>1.8952069172388029E-2</v>
      </c>
      <c r="J34" s="122">
        <f>SUM(G34:I34)+'Amended data'!$O$5+'Amended data'!$Q$5</f>
        <v>0.11430335831690981</v>
      </c>
      <c r="K34" s="62">
        <f t="shared" si="8"/>
        <v>19</v>
      </c>
      <c r="M34" s="126" t="b">
        <f>J34&gt;'Amended data'!M32</f>
        <v>1</v>
      </c>
      <c r="O34" s="157" t="str">
        <f t="shared" si="5"/>
        <v>Swim</v>
      </c>
      <c r="P34" s="201">
        <f t="shared" si="9"/>
        <v>4.7805266126086036E-2</v>
      </c>
    </row>
    <row r="35" spans="1:16" x14ac:dyDescent="0.2">
      <c r="A35" s="75" t="str">
        <f>'Amended data'!K33</f>
        <v>Tom</v>
      </c>
      <c r="B35" s="76" t="str">
        <f>'Amended data'!L33</f>
        <v>Dailey</v>
      </c>
      <c r="C35" s="28" t="str">
        <f t="shared" si="10"/>
        <v>TomDailey</v>
      </c>
      <c r="D35" s="120">
        <f>VLOOKUP($C35,'Current speeds'!$C$9:$I$38,D$43,FALSE)*D$9</f>
        <v>2.733808441019927</v>
      </c>
      <c r="E35" s="120">
        <f>VLOOKUP($C35,'Current speeds'!$C$9:$I$38,E$43,FALSE)*E$9</f>
        <v>26.874177573278093</v>
      </c>
      <c r="F35" s="120">
        <f>VLOOKUP($C35,'Current speeds'!$C$9:$I$38,F$43,FALSE)*F$9</f>
        <v>13.104260690071719</v>
      </c>
      <c r="G35" s="121">
        <f t="shared" si="6"/>
        <v>4.572375961841902E-2</v>
      </c>
      <c r="H35" s="121">
        <f t="shared" si="7"/>
        <v>4.6513051295862438E-2</v>
      </c>
      <c r="I35" s="121">
        <f t="shared" si="4"/>
        <v>1.9077764546412707E-2</v>
      </c>
      <c r="J35" s="122">
        <f>SUM(G35:I35)+'Amended data'!$O$5+'Amended data'!$Q$5</f>
        <v>0.11316989953476825</v>
      </c>
      <c r="K35" s="62">
        <f t="shared" si="8"/>
        <v>17</v>
      </c>
      <c r="M35" s="126" t="b">
        <f>J35&gt;'Amended data'!M33</f>
        <v>1</v>
      </c>
      <c r="O35" s="157" t="str">
        <f t="shared" si="5"/>
        <v>Bike</v>
      </c>
      <c r="P35" s="201">
        <f t="shared" si="9"/>
        <v>4.6513051295862438E-2</v>
      </c>
    </row>
    <row r="36" spans="1:16" x14ac:dyDescent="0.2">
      <c r="A36" s="75" t="str">
        <f>'Amended data'!K34</f>
        <v>Daniel</v>
      </c>
      <c r="B36" s="76" t="str">
        <f>'Amended data'!L34</f>
        <v>Bent</v>
      </c>
      <c r="C36" s="28" t="str">
        <f t="shared" si="10"/>
        <v>DanielBent</v>
      </c>
      <c r="D36" s="120">
        <f>VLOOKUP($C36,'Current speeds'!$C$9:$I$38,D$43,FALSE)*D$9</f>
        <v>2.0333857366051151</v>
      </c>
      <c r="E36" s="120">
        <f>VLOOKUP($C36,'Current speeds'!$C$9:$I$38,E$43,FALSE)*E$9</f>
        <v>28.905945172742072</v>
      </c>
      <c r="F36" s="120">
        <f>VLOOKUP($C36,'Current speeds'!$C$9:$I$38,F$43,FALSE)*F$9</f>
        <v>14.139352371751949</v>
      </c>
      <c r="G36" s="121">
        <f t="shared" si="6"/>
        <v>6.1473825526432858E-2</v>
      </c>
      <c r="H36" s="121">
        <f t="shared" si="7"/>
        <v>4.3243699264286069E-2</v>
      </c>
      <c r="I36" s="121">
        <f t="shared" si="4"/>
        <v>1.768114927947181E-2</v>
      </c>
      <c r="J36" s="122">
        <f>SUM(G36:I36)+'Amended data'!$O$5+'Amended data'!$Q$5</f>
        <v>0.12425399814426483</v>
      </c>
      <c r="K36" s="62">
        <f t="shared" si="8"/>
        <v>30</v>
      </c>
      <c r="M36" s="126" t="b">
        <f>J36&gt;'Amended data'!M34</f>
        <v>1</v>
      </c>
      <c r="O36" s="157" t="str">
        <f t="shared" si="5"/>
        <v>Swim</v>
      </c>
      <c r="P36" s="201">
        <f t="shared" si="9"/>
        <v>6.1473825526432858E-2</v>
      </c>
    </row>
    <row r="37" spans="1:16" x14ac:dyDescent="0.2">
      <c r="A37" s="75" t="str">
        <f>'Amended data'!K35</f>
        <v>Andrew</v>
      </c>
      <c r="B37" s="76" t="str">
        <f>'Amended data'!L35</f>
        <v>Coe</v>
      </c>
      <c r="C37" s="28" t="str">
        <f t="shared" si="10"/>
        <v>AndrewCoe</v>
      </c>
      <c r="D37" s="120">
        <f>VLOOKUP($C37,'Current speeds'!$C$9:$I$38,D$43,FALSE)*D$9</f>
        <v>2.4214781755808228</v>
      </c>
      <c r="E37" s="120">
        <f>VLOOKUP($C37,'Current speeds'!$C$9:$I$38,E$43,FALSE)*E$9</f>
        <v>29.176600090089838</v>
      </c>
      <c r="F37" s="120">
        <f>VLOOKUP($C37,'Current speeds'!$C$9:$I$38,F$43,FALSE)*F$9</f>
        <v>12.535308195124628</v>
      </c>
      <c r="G37" s="121">
        <f t="shared" si="6"/>
        <v>5.1621361390142249E-2</v>
      </c>
      <c r="H37" s="121">
        <f t="shared" si="7"/>
        <v>4.284255177574911E-2</v>
      </c>
      <c r="I37" s="121">
        <f t="shared" si="4"/>
        <v>1.9943666011916068E-2</v>
      </c>
      <c r="J37" s="122">
        <f>SUM(G37:I37)+'Amended data'!$O$5+'Amended data'!$Q$5</f>
        <v>0.11626290325188152</v>
      </c>
      <c r="K37" s="62">
        <f t="shared" si="8"/>
        <v>25</v>
      </c>
      <c r="M37" s="126" t="b">
        <f>J37&gt;'Amended data'!M35</f>
        <v>1</v>
      </c>
      <c r="O37" s="157" t="str">
        <f t="shared" si="5"/>
        <v>Swim</v>
      </c>
      <c r="P37" s="201">
        <f t="shared" si="9"/>
        <v>5.1621361390142249E-2</v>
      </c>
    </row>
    <row r="38" spans="1:16" x14ac:dyDescent="0.2">
      <c r="A38" s="75" t="str">
        <f>'Amended data'!K36</f>
        <v>Rory</v>
      </c>
      <c r="B38" s="76" t="str">
        <f>'Amended data'!L36</f>
        <v>Taylor</v>
      </c>
      <c r="C38" s="28" t="str">
        <f t="shared" si="10"/>
        <v>RoryTaylor</v>
      </c>
      <c r="D38" s="120">
        <f>VLOOKUP($C38,'Current speeds'!$C$9:$I$38,D$43,FALSE)*D$9</f>
        <v>2.6969756925630719</v>
      </c>
      <c r="E38" s="120">
        <f>VLOOKUP($C38,'Current speeds'!$C$9:$I$38,E$43,FALSE)*E$9</f>
        <v>27.072640222602892</v>
      </c>
      <c r="F38" s="120">
        <f>VLOOKUP($C38,'Current speeds'!$C$9:$I$38,F$43,FALSE)*F$9</f>
        <v>13.16207360488086</v>
      </c>
      <c r="G38" s="121">
        <f t="shared" si="6"/>
        <v>4.6348211570719125E-2</v>
      </c>
      <c r="H38" s="121">
        <f t="shared" si="7"/>
        <v>4.6172075930606044E-2</v>
      </c>
      <c r="I38" s="121">
        <f t="shared" si="4"/>
        <v>1.8993967630396253E-2</v>
      </c>
      <c r="J38" s="122">
        <f>SUM(G38:I38)+'Amended data'!$O$5+'Amended data'!$Q$5</f>
        <v>0.1133695792057955</v>
      </c>
      <c r="K38" s="62">
        <f t="shared" si="8"/>
        <v>18</v>
      </c>
      <c r="M38" s="126" t="b">
        <f>J38&gt;'Amended data'!M36</f>
        <v>1</v>
      </c>
      <c r="O38" s="157" t="str">
        <f t="shared" si="5"/>
        <v>Swim</v>
      </c>
      <c r="P38" s="201">
        <f t="shared" si="9"/>
        <v>4.6348211570719125E-2</v>
      </c>
    </row>
    <row r="39" spans="1:16" x14ac:dyDescent="0.2">
      <c r="A39" s="75" t="str">
        <f>'Amended data'!K37</f>
        <v>Robert</v>
      </c>
      <c r="B39" s="76" t="str">
        <f>'Amended data'!L37</f>
        <v>Wilkinson</v>
      </c>
      <c r="C39" s="28" t="str">
        <f t="shared" si="10"/>
        <v>RobertWilkinson</v>
      </c>
      <c r="D39" s="120">
        <f>VLOOKUP($C39,'Current speeds'!$C$9:$I$38,D$43,FALSE)*D$9</f>
        <v>2.5810598318511921</v>
      </c>
      <c r="E39" s="120">
        <f>VLOOKUP($C39,'Current speeds'!$C$9:$I$38,E$43,FALSE)*E$9</f>
        <v>27.859283769526982</v>
      </c>
      <c r="F39" s="120">
        <f>VLOOKUP($C39,'Current speeds'!$C$9:$I$38,F$43,FALSE)*F$9</f>
        <v>12.767774680911531</v>
      </c>
      <c r="G39" s="121">
        <f t="shared" si="6"/>
        <v>4.8429718078386148E-2</v>
      </c>
      <c r="H39" s="121">
        <f t="shared" si="7"/>
        <v>4.4868346592860861E-2</v>
      </c>
      <c r="I39" s="121">
        <f t="shared" si="4"/>
        <v>1.9580546042511436E-2</v>
      </c>
      <c r="J39" s="122">
        <f>SUM(G39:I39)+'Amended data'!$O$5+'Amended data'!$Q$5</f>
        <v>0.11473393478783254</v>
      </c>
      <c r="K39" s="62">
        <f t="shared" si="8"/>
        <v>21</v>
      </c>
      <c r="M39" s="126" t="b">
        <f>J39&gt;'Amended data'!M37</f>
        <v>1</v>
      </c>
      <c r="O39" s="157" t="str">
        <f t="shared" si="5"/>
        <v>Swim</v>
      </c>
      <c r="P39" s="201">
        <f t="shared" si="9"/>
        <v>4.8429718078386148E-2</v>
      </c>
    </row>
    <row r="40" spans="1:16" x14ac:dyDescent="0.2">
      <c r="A40" s="75" t="str">
        <f>'Amended data'!K38</f>
        <v>Alexandra</v>
      </c>
      <c r="B40" s="76" t="str">
        <f>'Amended data'!L38</f>
        <v>Houghton</v>
      </c>
      <c r="C40" s="28" t="str">
        <f t="shared" si="10"/>
        <v>AlexandraHoughton</v>
      </c>
      <c r="D40" s="120">
        <f>VLOOKUP($C40,'Current speeds'!$C$9:$I$38,D$43,FALSE)*D$9</f>
        <v>2.9057738106969873</v>
      </c>
      <c r="E40" s="120">
        <f>VLOOKUP($C40,'Current speeds'!$C$9:$I$38,E$43,FALSE)*E$9</f>
        <v>28.959673695367975</v>
      </c>
      <c r="F40" s="120">
        <f>VLOOKUP($C40,'Current speeds'!$C$9:$I$38,F$43,FALSE)*F$9</f>
        <v>11.049642038665413</v>
      </c>
      <c r="G40" s="121">
        <f t="shared" si="6"/>
        <v>4.3017801158451885E-2</v>
      </c>
      <c r="H40" s="121">
        <f t="shared" si="7"/>
        <v>4.3163469766578692E-2</v>
      </c>
      <c r="I40" s="121">
        <f t="shared" si="4"/>
        <v>2.2625167324442599E-2</v>
      </c>
      <c r="J40" s="122">
        <f>SUM(G40:I40)+'Amended data'!$O$5+'Amended data'!$Q$5</f>
        <v>0.11066176232354727</v>
      </c>
      <c r="K40" s="62">
        <f t="shared" si="8"/>
        <v>12</v>
      </c>
      <c r="M40" s="126" t="b">
        <f>J40&gt;'Amended data'!M38</f>
        <v>1</v>
      </c>
      <c r="O40" s="157" t="str">
        <f t="shared" si="5"/>
        <v>Bike</v>
      </c>
      <c r="P40" s="201">
        <f t="shared" si="9"/>
        <v>4.3163469766578692E-2</v>
      </c>
    </row>
    <row r="41" spans="1:16" ht="13.5" thickBot="1" x14ac:dyDescent="0.25">
      <c r="A41" s="81" t="str">
        <f>'Amended data'!K39</f>
        <v>Scott</v>
      </c>
      <c r="B41" s="82" t="str">
        <f>'Amended data'!L39</f>
        <v>Pryde</v>
      </c>
      <c r="C41" s="30" t="str">
        <f t="shared" si="10"/>
        <v>ScottPryde</v>
      </c>
      <c r="D41" s="123">
        <f>VLOOKUP($C41,'Current speeds'!$C$9:$I$38,D$43,FALSE)*D$9</f>
        <v>2.6571972900178937</v>
      </c>
      <c r="E41" s="123">
        <f>VLOOKUP($C41,'Current speeds'!$C$9:$I$38,E$43,FALSE)*E$9</f>
        <v>25.625500737019689</v>
      </c>
      <c r="F41" s="123">
        <f>VLOOKUP($C41,'Current speeds'!$C$9:$I$38,F$43,FALSE)*F$9</f>
        <v>14.732856051553883</v>
      </c>
      <c r="G41" s="124">
        <f t="shared" si="6"/>
        <v>4.7042047073274799E-2</v>
      </c>
      <c r="H41" s="124">
        <f t="shared" si="7"/>
        <v>4.8779534606096374E-2</v>
      </c>
      <c r="I41" s="124">
        <f t="shared" si="4"/>
        <v>1.696887549333195E-2</v>
      </c>
      <c r="J41" s="125">
        <f>SUM(G41:I41)+'Amended data'!$O$5+'Amended data'!$Q$5</f>
        <v>0.11464578124677721</v>
      </c>
      <c r="K41" s="63">
        <f t="shared" si="8"/>
        <v>20</v>
      </c>
      <c r="M41" s="127" t="b">
        <f>J41&gt;'Amended data'!M39</f>
        <v>1</v>
      </c>
      <c r="O41" s="158" t="str">
        <f t="shared" si="5"/>
        <v>Bike</v>
      </c>
      <c r="P41" s="202">
        <f>MAX(G41:I41)</f>
        <v>4.8779534606096374E-2</v>
      </c>
    </row>
    <row r="42" spans="1:16" x14ac:dyDescent="0.2">
      <c r="D42" s="5"/>
      <c r="E42" s="5"/>
      <c r="F42" s="5"/>
      <c r="G42" s="7"/>
      <c r="H42" s="7"/>
      <c r="I42" s="7"/>
      <c r="J42" s="6"/>
      <c r="K42" s="18"/>
    </row>
    <row r="43" spans="1:16" x14ac:dyDescent="0.2">
      <c r="C43" s="161" t="s">
        <v>131</v>
      </c>
      <c r="D43" s="162">
        <v>3</v>
      </c>
      <c r="E43" s="162">
        <v>5</v>
      </c>
      <c r="F43" s="162">
        <v>7</v>
      </c>
      <c r="G43" s="121"/>
      <c r="H43" s="7"/>
      <c r="I43" s="7"/>
      <c r="J43" s="6"/>
      <c r="K43" s="18"/>
    </row>
    <row r="44" spans="1:16" x14ac:dyDescent="0.2">
      <c r="D44" s="5"/>
      <c r="E44" s="5"/>
      <c r="F44" s="5"/>
      <c r="G44" s="7"/>
      <c r="H44" s="7"/>
      <c r="I44" s="7"/>
      <c r="J44" s="6"/>
      <c r="K44" s="18"/>
    </row>
    <row r="45" spans="1:16" x14ac:dyDescent="0.2">
      <c r="D45" s="5"/>
      <c r="E45" s="5"/>
      <c r="F45" s="5"/>
      <c r="G45" s="7"/>
      <c r="H45" s="7"/>
      <c r="I45" s="7"/>
      <c r="J45" s="6"/>
      <c r="K45" s="18"/>
    </row>
    <row r="46" spans="1:16" x14ac:dyDescent="0.2">
      <c r="D46" s="5"/>
      <c r="E46" s="5"/>
      <c r="F46" s="5"/>
      <c r="G46" s="7"/>
      <c r="H46" s="7"/>
      <c r="I46" s="7"/>
      <c r="J46" s="6"/>
      <c r="K46" s="18"/>
    </row>
    <row r="47" spans="1:16" x14ac:dyDescent="0.2">
      <c r="D47" s="5"/>
      <c r="E47" s="5"/>
      <c r="F47" s="5"/>
      <c r="G47" s="7"/>
      <c r="H47" s="7"/>
      <c r="I47" s="7"/>
      <c r="J47" s="6"/>
      <c r="K47" s="18"/>
    </row>
    <row r="48" spans="1:16" x14ac:dyDescent="0.2">
      <c r="D48" s="5"/>
      <c r="E48" s="5"/>
      <c r="F48" s="5"/>
      <c r="G48" s="7"/>
      <c r="H48" s="7"/>
      <c r="I48" s="7"/>
      <c r="J48" s="6"/>
      <c r="K48" s="18"/>
    </row>
    <row r="49" spans="4:11" x14ac:dyDescent="0.2">
      <c r="D49" s="5"/>
      <c r="E49" s="5"/>
      <c r="F49" s="5"/>
      <c r="G49" s="7"/>
      <c r="H49" s="7"/>
      <c r="I49" s="7"/>
      <c r="J49" s="6"/>
      <c r="K49" s="18"/>
    </row>
    <row r="50" spans="4:11" x14ac:dyDescent="0.2">
      <c r="D50" s="5"/>
      <c r="E50" s="5"/>
      <c r="F50" s="5"/>
      <c r="G50" s="7"/>
      <c r="H50" s="7"/>
      <c r="I50" s="7"/>
      <c r="J50" s="6"/>
      <c r="K50" s="18"/>
    </row>
    <row r="51" spans="4:11" x14ac:dyDescent="0.2">
      <c r="D51" s="5"/>
      <c r="E51" s="5"/>
      <c r="F51" s="5"/>
      <c r="G51" s="7"/>
      <c r="H51" s="7"/>
      <c r="I51" s="7"/>
      <c r="J51" s="6"/>
      <c r="K51" s="18"/>
    </row>
    <row r="52" spans="4:11" x14ac:dyDescent="0.2">
      <c r="D52" s="5"/>
      <c r="E52" s="5"/>
      <c r="F52" s="5"/>
      <c r="G52" s="7"/>
      <c r="H52" s="7"/>
      <c r="I52" s="7"/>
      <c r="J52" s="6"/>
      <c r="K52" s="18"/>
    </row>
    <row r="53" spans="4:11" x14ac:dyDescent="0.2">
      <c r="D53" s="5"/>
      <c r="E53" s="5"/>
      <c r="F53" s="5"/>
      <c r="G53" s="7"/>
      <c r="H53" s="7"/>
      <c r="I53" s="7"/>
      <c r="J53" s="6"/>
      <c r="K53" s="18"/>
    </row>
    <row r="54" spans="4:11" x14ac:dyDescent="0.2">
      <c r="D54" s="5"/>
      <c r="E54" s="5"/>
      <c r="F54" s="5"/>
      <c r="G54" s="7"/>
      <c r="H54" s="7"/>
      <c r="I54" s="7"/>
      <c r="J54" s="6"/>
      <c r="K54" s="18"/>
    </row>
    <row r="55" spans="4:11" x14ac:dyDescent="0.2">
      <c r="D55" s="5"/>
      <c r="E55" s="5"/>
      <c r="F55" s="5"/>
      <c r="G55" s="7"/>
      <c r="H55" s="7"/>
      <c r="I55" s="7"/>
      <c r="J55" s="6"/>
      <c r="K55" s="18"/>
    </row>
    <row r="56" spans="4:11" x14ac:dyDescent="0.2">
      <c r="D56" s="5"/>
      <c r="E56" s="5"/>
      <c r="F56" s="5"/>
      <c r="G56" s="7"/>
      <c r="H56" s="7"/>
      <c r="I56" s="7"/>
      <c r="J56" s="6"/>
      <c r="K56" s="18"/>
    </row>
    <row r="57" spans="4:11" x14ac:dyDescent="0.2">
      <c r="D57" s="5"/>
      <c r="E57" s="5"/>
      <c r="F57" s="5"/>
      <c r="G57" s="7"/>
      <c r="H57" s="7"/>
      <c r="I57" s="7"/>
      <c r="J57" s="6"/>
      <c r="K57" s="18"/>
    </row>
    <row r="58" spans="4:11" x14ac:dyDescent="0.2">
      <c r="D58" s="5"/>
      <c r="E58" s="5"/>
      <c r="F58" s="5"/>
      <c r="G58" s="7"/>
      <c r="H58" s="7"/>
      <c r="I58" s="7"/>
      <c r="J58" s="6"/>
      <c r="K58" s="18"/>
    </row>
    <row r="59" spans="4:11" x14ac:dyDescent="0.2">
      <c r="D59" s="5"/>
      <c r="E59" s="5"/>
      <c r="F59" s="5"/>
      <c r="G59" s="7"/>
      <c r="H59" s="7"/>
      <c r="I59" s="7"/>
      <c r="J59" s="6"/>
      <c r="K59" s="18"/>
    </row>
    <row r="60" spans="4:11" x14ac:dyDescent="0.2">
      <c r="D60" s="5"/>
      <c r="E60" s="5"/>
      <c r="F60" s="5"/>
      <c r="G60" s="7"/>
      <c r="H60" s="7"/>
      <c r="I60" s="7"/>
      <c r="J60" s="6"/>
      <c r="K60" s="18"/>
    </row>
    <row r="61" spans="4:11" x14ac:dyDescent="0.2">
      <c r="D61" s="5"/>
      <c r="E61" s="5"/>
      <c r="F61" s="5"/>
      <c r="G61" s="7"/>
      <c r="H61" s="7"/>
      <c r="I61" s="7"/>
      <c r="J61" s="6"/>
      <c r="K61" s="18"/>
    </row>
    <row r="62" spans="4:11" x14ac:dyDescent="0.2">
      <c r="D62" s="5"/>
      <c r="E62" s="5"/>
      <c r="F62" s="5"/>
      <c r="G62" s="7"/>
      <c r="H62" s="7"/>
      <c r="I62" s="7"/>
      <c r="J62" s="6"/>
      <c r="K62" s="18"/>
    </row>
    <row r="63" spans="4:11" x14ac:dyDescent="0.2">
      <c r="D63" s="5"/>
      <c r="E63" s="5"/>
      <c r="F63" s="5"/>
      <c r="G63" s="7"/>
      <c r="H63" s="7"/>
      <c r="I63" s="7"/>
      <c r="J63" s="6"/>
      <c r="K63" s="18"/>
    </row>
    <row r="64" spans="4:11" x14ac:dyDescent="0.2">
      <c r="D64" s="5"/>
      <c r="E64" s="5"/>
      <c r="F64" s="5"/>
      <c r="G64" s="7"/>
      <c r="H64" s="7"/>
      <c r="I64" s="7"/>
      <c r="J64" s="6"/>
      <c r="K64" s="18"/>
    </row>
    <row r="65" spans="4:11" x14ac:dyDescent="0.2">
      <c r="D65" s="5"/>
      <c r="E65" s="5"/>
      <c r="F65" s="5"/>
      <c r="G65" s="7"/>
      <c r="H65" s="7"/>
      <c r="I65" s="7"/>
      <c r="J65" s="6"/>
      <c r="K65" s="18"/>
    </row>
    <row r="66" spans="4:11" x14ac:dyDescent="0.2">
      <c r="D66" s="5"/>
      <c r="E66" s="5"/>
      <c r="F66" s="5"/>
      <c r="G66" s="7"/>
      <c r="H66" s="7"/>
      <c r="I66" s="7"/>
      <c r="J66" s="6"/>
      <c r="K66" s="18"/>
    </row>
    <row r="67" spans="4:11" x14ac:dyDescent="0.2">
      <c r="D67" s="5"/>
      <c r="E67" s="5"/>
      <c r="F67" s="5"/>
      <c r="G67" s="7"/>
      <c r="H67" s="7"/>
      <c r="I67" s="7"/>
      <c r="J67" s="6"/>
      <c r="K67" s="18"/>
    </row>
    <row r="68" spans="4:11" x14ac:dyDescent="0.2">
      <c r="D68" s="5"/>
      <c r="E68" s="5"/>
      <c r="F68" s="5"/>
      <c r="G68" s="7"/>
      <c r="H68" s="7"/>
      <c r="I68" s="7"/>
      <c r="J68" s="6"/>
      <c r="K68" s="18"/>
    </row>
    <row r="69" spans="4:11" x14ac:dyDescent="0.2">
      <c r="D69" s="5"/>
      <c r="E69" s="5"/>
      <c r="F69" s="5"/>
      <c r="G69" s="7"/>
      <c r="H69" s="7"/>
      <c r="I69" s="7"/>
      <c r="J69" s="6"/>
      <c r="K69" s="18"/>
    </row>
    <row r="70" spans="4:11" x14ac:dyDescent="0.2">
      <c r="D70" s="5"/>
      <c r="E70" s="5"/>
      <c r="F70" s="5"/>
      <c r="G70" s="7"/>
      <c r="H70" s="7"/>
      <c r="I70" s="7"/>
      <c r="J70" s="6"/>
      <c r="K70" s="18"/>
    </row>
    <row r="71" spans="4:11" x14ac:dyDescent="0.2">
      <c r="D71" s="5"/>
      <c r="E71" s="5"/>
      <c r="F71" s="5"/>
      <c r="G71" s="7"/>
      <c r="H71" s="7"/>
      <c r="I71" s="7"/>
      <c r="J71" s="6"/>
      <c r="K71" s="18"/>
    </row>
    <row r="72" spans="4:11" x14ac:dyDescent="0.2">
      <c r="D72" s="5"/>
      <c r="E72" s="5"/>
      <c r="F72" s="5"/>
      <c r="G72" s="7"/>
      <c r="H72" s="7"/>
      <c r="I72" s="7"/>
      <c r="J72" s="6"/>
      <c r="K72" s="18"/>
    </row>
    <row r="73" spans="4:11" x14ac:dyDescent="0.2">
      <c r="D73" s="5"/>
      <c r="E73" s="5"/>
      <c r="F73" s="5"/>
      <c r="G73" s="7"/>
      <c r="H73" s="7"/>
      <c r="I73" s="7"/>
      <c r="J73" s="6"/>
      <c r="K73" s="18"/>
    </row>
    <row r="74" spans="4:11" x14ac:dyDescent="0.2">
      <c r="D74" s="5"/>
      <c r="E74" s="5"/>
      <c r="F74" s="5"/>
      <c r="G74" s="7"/>
      <c r="H74" s="7"/>
      <c r="I74" s="7"/>
      <c r="J74" s="6"/>
      <c r="K74" s="18"/>
    </row>
    <row r="75" spans="4:11" x14ac:dyDescent="0.2">
      <c r="D75" s="5"/>
      <c r="E75" s="5"/>
      <c r="F75" s="5"/>
      <c r="G75" s="7"/>
      <c r="H75" s="7"/>
      <c r="I75" s="7"/>
      <c r="J75" s="6"/>
      <c r="K75" s="18"/>
    </row>
    <row r="76" spans="4:11" x14ac:dyDescent="0.2">
      <c r="D76" s="5"/>
      <c r="E76" s="5"/>
      <c r="F76" s="5"/>
      <c r="G76" s="7"/>
      <c r="H76" s="7"/>
      <c r="I76" s="7"/>
      <c r="J76" s="6"/>
      <c r="K76" s="18"/>
    </row>
    <row r="77" spans="4:11" x14ac:dyDescent="0.2">
      <c r="D77" s="5"/>
      <c r="E77" s="5"/>
      <c r="F77" s="5"/>
      <c r="G77" s="7"/>
      <c r="H77" s="7"/>
      <c r="I77" s="7"/>
      <c r="J77" s="6"/>
      <c r="K77" s="18"/>
    </row>
    <row r="78" spans="4:11" x14ac:dyDescent="0.2">
      <c r="D78" s="5"/>
      <c r="E78" s="5"/>
      <c r="F78" s="5"/>
      <c r="G78" s="7"/>
      <c r="H78" s="7"/>
      <c r="I78" s="7"/>
      <c r="J78" s="6"/>
      <c r="K78" s="18"/>
    </row>
    <row r="79" spans="4:11" x14ac:dyDescent="0.2">
      <c r="D79" s="5"/>
      <c r="E79" s="5"/>
      <c r="F79" s="5"/>
      <c r="G79" s="7"/>
      <c r="H79" s="7"/>
      <c r="I79" s="7"/>
      <c r="J79" s="6"/>
      <c r="K79" s="18"/>
    </row>
    <row r="80" spans="4:11" x14ac:dyDescent="0.2">
      <c r="D80" s="5"/>
      <c r="E80" s="5"/>
      <c r="F80" s="5"/>
      <c r="G80" s="7"/>
      <c r="H80" s="7"/>
      <c r="I80" s="7"/>
      <c r="J80" s="6"/>
      <c r="K80" s="18"/>
    </row>
    <row r="81" spans="4:11" x14ac:dyDescent="0.2">
      <c r="D81" s="5"/>
      <c r="E81" s="5"/>
      <c r="F81" s="5"/>
      <c r="G81" s="7"/>
      <c r="H81" s="7"/>
      <c r="I81" s="7"/>
      <c r="J81" s="6"/>
      <c r="K81" s="18"/>
    </row>
    <row r="82" spans="4:11" x14ac:dyDescent="0.2">
      <c r="D82" s="5"/>
      <c r="E82" s="5"/>
      <c r="F82" s="5"/>
      <c r="G82" s="7"/>
      <c r="H82" s="7"/>
      <c r="I82" s="7"/>
      <c r="J82" s="6"/>
      <c r="K82" s="18"/>
    </row>
    <row r="83" spans="4:11" x14ac:dyDescent="0.2">
      <c r="D83" s="5"/>
      <c r="E83" s="5"/>
      <c r="F83" s="5"/>
      <c r="G83" s="7"/>
      <c r="H83" s="7"/>
      <c r="I83" s="7"/>
      <c r="J83" s="6"/>
      <c r="K83" s="18"/>
    </row>
    <row r="84" spans="4:11" x14ac:dyDescent="0.2">
      <c r="D84" s="5"/>
      <c r="E84" s="5"/>
      <c r="F84" s="5"/>
      <c r="G84" s="7"/>
      <c r="H84" s="7"/>
      <c r="I84" s="7"/>
      <c r="J84" s="6"/>
      <c r="K84" s="18"/>
    </row>
    <row r="85" spans="4:11" x14ac:dyDescent="0.2">
      <c r="D85" s="5"/>
      <c r="E85" s="5"/>
      <c r="F85" s="5"/>
      <c r="G85" s="7"/>
      <c r="H85" s="7"/>
      <c r="I85" s="7"/>
      <c r="J85" s="6"/>
      <c r="K85" s="18"/>
    </row>
    <row r="86" spans="4:11" x14ac:dyDescent="0.2">
      <c r="D86" s="5"/>
      <c r="E86" s="5"/>
      <c r="F86" s="5"/>
      <c r="G86" s="7"/>
      <c r="H86" s="7"/>
      <c r="I86" s="7"/>
      <c r="J86" s="6"/>
      <c r="K86" s="18"/>
    </row>
    <row r="87" spans="4:11" x14ac:dyDescent="0.2">
      <c r="D87" s="5"/>
      <c r="E87" s="5"/>
      <c r="F87" s="5"/>
      <c r="G87" s="7"/>
      <c r="H87" s="7"/>
      <c r="I87" s="7"/>
      <c r="J87" s="6"/>
      <c r="K87" s="18"/>
    </row>
    <row r="88" spans="4:11" x14ac:dyDescent="0.2">
      <c r="D88" s="5"/>
      <c r="E88" s="5"/>
      <c r="F88" s="5"/>
      <c r="G88" s="7"/>
      <c r="H88" s="7"/>
      <c r="I88" s="7"/>
      <c r="J88" s="6"/>
      <c r="K88" s="18"/>
    </row>
    <row r="89" spans="4:11" x14ac:dyDescent="0.2">
      <c r="D89" s="5"/>
      <c r="E89" s="5"/>
      <c r="F89" s="5"/>
      <c r="G89" s="7"/>
      <c r="H89" s="7"/>
      <c r="I89" s="7"/>
      <c r="J89" s="6"/>
      <c r="K89" s="18"/>
    </row>
    <row r="90" spans="4:11" x14ac:dyDescent="0.2">
      <c r="D90" s="5"/>
      <c r="E90" s="5"/>
      <c r="F90" s="5"/>
      <c r="G90" s="7"/>
      <c r="H90" s="7"/>
      <c r="I90" s="7"/>
      <c r="J90" s="6"/>
      <c r="K90" s="18"/>
    </row>
    <row r="91" spans="4:11" x14ac:dyDescent="0.2">
      <c r="D91" s="5"/>
      <c r="E91" s="5"/>
      <c r="F91" s="5"/>
      <c r="G91" s="7"/>
      <c r="H91" s="7"/>
      <c r="I91" s="7"/>
      <c r="J91" s="6"/>
      <c r="K91" s="18"/>
    </row>
    <row r="92" spans="4:11" x14ac:dyDescent="0.2">
      <c r="D92" s="5"/>
      <c r="E92" s="5"/>
      <c r="F92" s="5"/>
      <c r="G92" s="7"/>
      <c r="H92" s="7"/>
      <c r="I92" s="7"/>
      <c r="J92" s="6"/>
      <c r="K92" s="18"/>
    </row>
    <row r="93" spans="4:11" x14ac:dyDescent="0.2">
      <c r="D93" s="5"/>
      <c r="E93" s="5"/>
      <c r="F93" s="5"/>
      <c r="G93" s="7"/>
      <c r="H93" s="7"/>
      <c r="I93" s="7"/>
      <c r="J93" s="6"/>
      <c r="K93" s="18"/>
    </row>
    <row r="94" spans="4:11" x14ac:dyDescent="0.2">
      <c r="D94" s="5"/>
      <c r="E94" s="5"/>
      <c r="F94" s="5"/>
      <c r="G94" s="7"/>
      <c r="H94" s="7"/>
      <c r="I94" s="7"/>
      <c r="J94" s="6"/>
      <c r="K94" s="18"/>
    </row>
    <row r="95" spans="4:11" x14ac:dyDescent="0.2">
      <c r="D95" s="5"/>
      <c r="E95" s="5"/>
      <c r="F95" s="5"/>
      <c r="G95" s="7"/>
      <c r="H95" s="7"/>
      <c r="I95" s="7"/>
      <c r="J95" s="6"/>
      <c r="K95" s="18"/>
    </row>
    <row r="96" spans="4:11" x14ac:dyDescent="0.2">
      <c r="D96" s="5"/>
      <c r="E96" s="5"/>
      <c r="F96" s="5"/>
      <c r="G96" s="7"/>
      <c r="H96" s="7"/>
      <c r="I96" s="7"/>
      <c r="J96" s="6"/>
      <c r="K96" s="18"/>
    </row>
    <row r="97" spans="4:11" x14ac:dyDescent="0.2">
      <c r="D97" s="5"/>
      <c r="E97" s="5"/>
      <c r="F97" s="5"/>
      <c r="G97" s="7"/>
      <c r="H97" s="7"/>
      <c r="I97" s="7"/>
      <c r="J97" s="6"/>
      <c r="K97" s="18"/>
    </row>
    <row r="98" spans="4:11" x14ac:dyDescent="0.2">
      <c r="D98" s="5"/>
      <c r="E98" s="5"/>
      <c r="F98" s="5"/>
      <c r="G98" s="7"/>
      <c r="H98" s="7"/>
      <c r="I98" s="7"/>
      <c r="J98" s="6"/>
      <c r="K98" s="18"/>
    </row>
    <row r="99" spans="4:11" x14ac:dyDescent="0.2">
      <c r="D99" s="5"/>
      <c r="E99" s="5"/>
      <c r="F99" s="5"/>
      <c r="G99" s="7"/>
      <c r="H99" s="7"/>
      <c r="I99" s="7"/>
      <c r="J99" s="6"/>
      <c r="K99" s="18"/>
    </row>
    <row r="100" spans="4:11" x14ac:dyDescent="0.2">
      <c r="D100" s="5"/>
      <c r="E100" s="5"/>
      <c r="F100" s="5"/>
      <c r="G100" s="7"/>
      <c r="H100" s="7"/>
      <c r="I100" s="7"/>
      <c r="J100" s="6"/>
      <c r="K100" s="18"/>
    </row>
    <row r="101" spans="4:11" x14ac:dyDescent="0.2">
      <c r="D101" s="5"/>
      <c r="E101" s="5"/>
      <c r="F101" s="5"/>
      <c r="G101" s="7"/>
      <c r="H101" s="7"/>
      <c r="I101" s="7"/>
      <c r="J101" s="6"/>
      <c r="K101" s="18"/>
    </row>
    <row r="102" spans="4:11" x14ac:dyDescent="0.2">
      <c r="D102" s="5"/>
      <c r="E102" s="5"/>
      <c r="F102" s="5"/>
      <c r="G102" s="7"/>
      <c r="H102" s="7"/>
      <c r="I102" s="7"/>
      <c r="J102" s="6"/>
      <c r="K102" s="18"/>
    </row>
    <row r="103" spans="4:11" x14ac:dyDescent="0.2">
      <c r="D103" s="5"/>
      <c r="E103" s="5"/>
      <c r="F103" s="5"/>
      <c r="G103" s="7"/>
      <c r="H103" s="7"/>
      <c r="I103" s="7"/>
      <c r="J103" s="6"/>
      <c r="K103" s="18"/>
    </row>
    <row r="104" spans="4:11" x14ac:dyDescent="0.2">
      <c r="D104" s="5"/>
      <c r="E104" s="5"/>
      <c r="F104" s="5"/>
      <c r="G104" s="7"/>
      <c r="H104" s="7"/>
      <c r="I104" s="7"/>
      <c r="J104" s="6"/>
      <c r="K104" s="18"/>
    </row>
    <row r="105" spans="4:11" x14ac:dyDescent="0.2">
      <c r="D105" s="5"/>
      <c r="E105" s="5"/>
      <c r="F105" s="5"/>
      <c r="G105" s="7"/>
      <c r="H105" s="7"/>
      <c r="I105" s="7"/>
      <c r="J105" s="6"/>
      <c r="K105" s="18"/>
    </row>
    <row r="106" spans="4:11" x14ac:dyDescent="0.2">
      <c r="D106" s="5"/>
      <c r="E106" s="5"/>
      <c r="F106" s="5"/>
      <c r="G106" s="7"/>
      <c r="H106" s="7"/>
      <c r="I106" s="7"/>
      <c r="J106" s="6"/>
      <c r="K106" s="18"/>
    </row>
    <row r="107" spans="4:11" x14ac:dyDescent="0.2">
      <c r="D107" s="5"/>
      <c r="E107" s="5"/>
      <c r="F107" s="5"/>
      <c r="G107" s="7"/>
      <c r="H107" s="7"/>
      <c r="I107" s="7"/>
      <c r="J107" s="6"/>
      <c r="K107" s="18"/>
    </row>
    <row r="108" spans="4:11" x14ac:dyDescent="0.2">
      <c r="D108" s="5"/>
      <c r="E108" s="5"/>
      <c r="F108" s="5"/>
      <c r="G108" s="7"/>
      <c r="H108" s="7"/>
      <c r="I108" s="7"/>
      <c r="J108" s="6"/>
      <c r="K108" s="18"/>
    </row>
    <row r="109" spans="4:11" x14ac:dyDescent="0.2">
      <c r="D109" s="5"/>
      <c r="E109" s="5"/>
      <c r="F109" s="5"/>
      <c r="G109" s="7"/>
      <c r="H109" s="7"/>
      <c r="I109" s="7"/>
      <c r="J109" s="6"/>
      <c r="K109" s="18"/>
    </row>
    <row r="110" spans="4:11" x14ac:dyDescent="0.2">
      <c r="D110" s="5"/>
      <c r="E110" s="5"/>
      <c r="F110" s="5"/>
      <c r="G110" s="7"/>
      <c r="H110" s="7"/>
      <c r="I110" s="7"/>
      <c r="J110" s="6"/>
      <c r="K110" s="18"/>
    </row>
    <row r="111" spans="4:11" x14ac:dyDescent="0.2">
      <c r="D111" s="5"/>
      <c r="E111" s="5"/>
      <c r="F111" s="5"/>
      <c r="G111" s="7"/>
      <c r="H111" s="7"/>
      <c r="I111" s="7"/>
      <c r="J111" s="6"/>
      <c r="K111" s="18"/>
    </row>
    <row r="112" spans="4:11" x14ac:dyDescent="0.2">
      <c r="D112" s="5"/>
      <c r="E112" s="5"/>
      <c r="F112" s="5"/>
      <c r="G112" s="7"/>
      <c r="H112" s="7"/>
      <c r="I112" s="7"/>
      <c r="J112" s="6"/>
      <c r="K112" s="18"/>
    </row>
    <row r="113" spans="4:11" x14ac:dyDescent="0.2">
      <c r="D113" s="5"/>
      <c r="E113" s="5"/>
      <c r="F113" s="5"/>
      <c r="G113" s="7"/>
      <c r="H113" s="7"/>
      <c r="I113" s="7"/>
      <c r="J113" s="6"/>
      <c r="K113" s="18"/>
    </row>
    <row r="114" spans="4:11" x14ac:dyDescent="0.2">
      <c r="D114" s="5"/>
      <c r="E114" s="5"/>
      <c r="F114" s="5"/>
      <c r="G114" s="7"/>
      <c r="H114" s="7"/>
      <c r="I114" s="7"/>
      <c r="J114" s="6"/>
      <c r="K114" s="18"/>
    </row>
    <row r="115" spans="4:11" x14ac:dyDescent="0.2">
      <c r="D115" s="5"/>
      <c r="E115" s="5"/>
      <c r="F115" s="5"/>
      <c r="G115" s="7"/>
      <c r="H115" s="7"/>
      <c r="I115" s="7"/>
      <c r="J115" s="6"/>
      <c r="K115" s="18"/>
    </row>
    <row r="116" spans="4:11" x14ac:dyDescent="0.2">
      <c r="D116" s="5"/>
      <c r="E116" s="5"/>
      <c r="F116" s="5"/>
      <c r="G116" s="7"/>
      <c r="H116" s="7"/>
      <c r="I116" s="7"/>
      <c r="J116" s="6"/>
      <c r="K116" s="18"/>
    </row>
    <row r="117" spans="4:11" x14ac:dyDescent="0.2">
      <c r="D117" s="5"/>
      <c r="E117" s="5"/>
      <c r="F117" s="5"/>
      <c r="G117" s="7"/>
      <c r="H117" s="7"/>
      <c r="I117" s="7"/>
      <c r="J117" s="6"/>
      <c r="K117" s="18"/>
    </row>
    <row r="118" spans="4:11" x14ac:dyDescent="0.2">
      <c r="D118" s="5"/>
      <c r="E118" s="5"/>
      <c r="F118" s="5"/>
      <c r="G118" s="7"/>
      <c r="H118" s="7"/>
      <c r="I118" s="7"/>
      <c r="J118" s="6"/>
      <c r="K118" s="18"/>
    </row>
    <row r="119" spans="4:11" x14ac:dyDescent="0.2">
      <c r="D119" s="5"/>
      <c r="E119" s="5"/>
      <c r="F119" s="5"/>
      <c r="G119" s="7"/>
      <c r="H119" s="7"/>
      <c r="I119" s="7"/>
      <c r="J119" s="6"/>
      <c r="K119" s="18"/>
    </row>
    <row r="120" spans="4:11" x14ac:dyDescent="0.2">
      <c r="D120" s="5"/>
      <c r="E120" s="5"/>
      <c r="F120" s="5"/>
      <c r="G120" s="7"/>
      <c r="H120" s="7"/>
      <c r="I120" s="7"/>
      <c r="J120" s="6"/>
      <c r="K120" s="18"/>
    </row>
    <row r="121" spans="4:11" x14ac:dyDescent="0.2">
      <c r="D121" s="5"/>
      <c r="E121" s="5"/>
      <c r="F121" s="5"/>
      <c r="G121" s="7"/>
      <c r="H121" s="7"/>
      <c r="I121" s="7"/>
      <c r="J121" s="6"/>
      <c r="K121" s="18"/>
    </row>
    <row r="122" spans="4:11" x14ac:dyDescent="0.2">
      <c r="D122" s="5"/>
      <c r="E122" s="5"/>
      <c r="F122" s="5"/>
      <c r="G122" s="7"/>
      <c r="H122" s="7"/>
      <c r="I122" s="7"/>
      <c r="J122" s="6"/>
      <c r="K122" s="18"/>
    </row>
    <row r="123" spans="4:11" x14ac:dyDescent="0.2">
      <c r="D123" s="5"/>
      <c r="E123" s="5"/>
      <c r="F123" s="5"/>
      <c r="G123" s="7"/>
      <c r="H123" s="7"/>
      <c r="I123" s="7"/>
      <c r="J123" s="6"/>
      <c r="K123" s="18"/>
    </row>
    <row r="124" spans="4:11" x14ac:dyDescent="0.2">
      <c r="D124" s="5"/>
      <c r="E124" s="5"/>
      <c r="F124" s="5"/>
      <c r="G124" s="7"/>
      <c r="H124" s="7"/>
      <c r="I124" s="7"/>
      <c r="J124" s="6"/>
      <c r="K124" s="18"/>
    </row>
    <row r="125" spans="4:11" x14ac:dyDescent="0.2">
      <c r="D125" s="5"/>
      <c r="E125" s="5"/>
      <c r="F125" s="5"/>
      <c r="G125" s="7"/>
      <c r="H125" s="7"/>
      <c r="I125" s="7"/>
      <c r="J125" s="6"/>
      <c r="K125" s="18"/>
    </row>
    <row r="126" spans="4:11" x14ac:dyDescent="0.2">
      <c r="D126" s="5"/>
      <c r="E126" s="5"/>
      <c r="F126" s="5"/>
      <c r="G126" s="7"/>
      <c r="H126" s="7"/>
      <c r="I126" s="7"/>
      <c r="J126" s="6"/>
      <c r="K126" s="18"/>
    </row>
    <row r="127" spans="4:11" x14ac:dyDescent="0.2">
      <c r="D127" s="5"/>
      <c r="E127" s="5"/>
      <c r="F127" s="5"/>
      <c r="G127" s="7"/>
      <c r="H127" s="7"/>
      <c r="I127" s="7"/>
      <c r="J127" s="6"/>
      <c r="K127" s="18"/>
    </row>
    <row r="128" spans="4:11" x14ac:dyDescent="0.2">
      <c r="D128" s="5"/>
      <c r="E128" s="5"/>
      <c r="F128" s="5"/>
      <c r="G128" s="7"/>
      <c r="H128" s="7"/>
      <c r="I128" s="7"/>
      <c r="J128" s="6"/>
      <c r="K128" s="18"/>
    </row>
    <row r="129" spans="4:11" x14ac:dyDescent="0.2">
      <c r="D129" s="5"/>
      <c r="E129" s="5"/>
      <c r="F129" s="5"/>
      <c r="G129" s="7"/>
      <c r="H129" s="7"/>
      <c r="I129" s="7"/>
      <c r="J129" s="6"/>
      <c r="K129" s="18"/>
    </row>
    <row r="130" spans="4:11" x14ac:dyDescent="0.2">
      <c r="D130" s="5"/>
      <c r="E130" s="5"/>
      <c r="F130" s="5"/>
      <c r="G130" s="7"/>
      <c r="H130" s="7"/>
      <c r="I130" s="7"/>
      <c r="J130" s="6"/>
      <c r="K130" s="18"/>
    </row>
    <row r="131" spans="4:11" x14ac:dyDescent="0.2">
      <c r="D131" s="5"/>
      <c r="E131" s="5"/>
      <c r="F131" s="5"/>
      <c r="G131" s="7"/>
      <c r="H131" s="7"/>
      <c r="I131" s="7"/>
      <c r="J131" s="6"/>
      <c r="K131" s="18"/>
    </row>
    <row r="132" spans="4:11" x14ac:dyDescent="0.2">
      <c r="D132" s="5"/>
      <c r="E132" s="5"/>
      <c r="F132" s="5"/>
      <c r="G132" s="7"/>
      <c r="H132" s="7"/>
      <c r="I132" s="7"/>
      <c r="J132" s="6"/>
      <c r="K132" s="18"/>
    </row>
    <row r="133" spans="4:11" x14ac:dyDescent="0.2">
      <c r="D133" s="5"/>
      <c r="E133" s="5"/>
      <c r="F133" s="5"/>
      <c r="G133" s="7"/>
      <c r="H133" s="7"/>
      <c r="I133" s="7"/>
      <c r="J133" s="6"/>
      <c r="K133" s="18"/>
    </row>
    <row r="134" spans="4:11" x14ac:dyDescent="0.2">
      <c r="D134" s="5"/>
      <c r="E134" s="5"/>
      <c r="F134" s="5"/>
      <c r="G134" s="7"/>
      <c r="H134" s="7"/>
      <c r="I134" s="7"/>
      <c r="J134" s="6"/>
      <c r="K134" s="18"/>
    </row>
    <row r="135" spans="4:11" x14ac:dyDescent="0.2">
      <c r="D135" s="5"/>
      <c r="E135" s="5"/>
      <c r="F135" s="5"/>
      <c r="G135" s="7"/>
      <c r="H135" s="7"/>
      <c r="I135" s="7"/>
      <c r="J135" s="6"/>
      <c r="K135" s="18"/>
    </row>
    <row r="136" spans="4:11" x14ac:dyDescent="0.2">
      <c r="D136" s="5"/>
      <c r="E136" s="5"/>
      <c r="F136" s="5"/>
      <c r="G136" s="7"/>
      <c r="H136" s="7"/>
      <c r="I136" s="7"/>
      <c r="J136" s="6"/>
      <c r="K136" s="18"/>
    </row>
    <row r="137" spans="4:11" x14ac:dyDescent="0.2">
      <c r="D137" s="5"/>
      <c r="E137" s="5"/>
      <c r="F137" s="5"/>
      <c r="G137" s="7"/>
      <c r="H137" s="7"/>
      <c r="I137" s="7"/>
      <c r="J137" s="6"/>
      <c r="K137" s="18"/>
    </row>
    <row r="138" spans="4:11" x14ac:dyDescent="0.2">
      <c r="D138" s="5"/>
      <c r="E138" s="5"/>
      <c r="F138" s="5"/>
      <c r="G138" s="7"/>
      <c r="H138" s="7"/>
      <c r="I138" s="7"/>
      <c r="J138" s="6"/>
      <c r="K138" s="18"/>
    </row>
    <row r="139" spans="4:11" x14ac:dyDescent="0.2">
      <c r="D139" s="5"/>
      <c r="E139" s="5"/>
      <c r="F139" s="5"/>
      <c r="G139" s="7"/>
      <c r="H139" s="7"/>
      <c r="I139" s="7"/>
      <c r="J139" s="6"/>
      <c r="K139" s="18"/>
    </row>
    <row r="140" spans="4:11" x14ac:dyDescent="0.2">
      <c r="D140" s="5"/>
      <c r="E140" s="5"/>
      <c r="F140" s="5"/>
      <c r="G140" s="7"/>
      <c r="H140" s="7"/>
      <c r="I140" s="7"/>
      <c r="J140" s="6"/>
      <c r="K140" s="18"/>
    </row>
    <row r="141" spans="4:11" x14ac:dyDescent="0.2">
      <c r="D141" s="5"/>
      <c r="E141" s="5"/>
      <c r="F141" s="5"/>
      <c r="G141" s="7"/>
      <c r="H141" s="7"/>
      <c r="I141" s="7"/>
      <c r="J141" s="6"/>
      <c r="K141" s="18"/>
    </row>
    <row r="142" spans="4:11" x14ac:dyDescent="0.2">
      <c r="D142" s="5"/>
      <c r="E142" s="5"/>
      <c r="F142" s="5"/>
      <c r="G142" s="7"/>
      <c r="H142" s="7"/>
      <c r="I142" s="7"/>
      <c r="J142" s="6"/>
      <c r="K142" s="18"/>
    </row>
    <row r="143" spans="4:11" x14ac:dyDescent="0.2">
      <c r="D143" s="5"/>
      <c r="E143" s="5"/>
      <c r="F143" s="5"/>
      <c r="G143" s="7"/>
      <c r="H143" s="7"/>
      <c r="I143" s="7"/>
      <c r="J143" s="6"/>
      <c r="K143" s="18"/>
    </row>
    <row r="144" spans="4:11" x14ac:dyDescent="0.2">
      <c r="D144" s="5"/>
      <c r="E144" s="5"/>
      <c r="F144" s="5"/>
      <c r="G144" s="7"/>
      <c r="H144" s="7"/>
      <c r="I144" s="7"/>
      <c r="J144" s="6"/>
      <c r="K144" s="18"/>
    </row>
    <row r="145" spans="4:11" x14ac:dyDescent="0.2">
      <c r="D145" s="5"/>
      <c r="E145" s="5"/>
      <c r="F145" s="5"/>
      <c r="G145" s="7"/>
      <c r="H145" s="7"/>
      <c r="I145" s="7"/>
      <c r="J145" s="6"/>
      <c r="K145" s="18"/>
    </row>
    <row r="146" spans="4:11" x14ac:dyDescent="0.2">
      <c r="D146" s="5"/>
      <c r="E146" s="5"/>
      <c r="F146" s="5"/>
      <c r="G146" s="7"/>
      <c r="H146" s="7"/>
      <c r="I146" s="7"/>
      <c r="J146" s="6"/>
      <c r="K146" s="18"/>
    </row>
    <row r="147" spans="4:11" x14ac:dyDescent="0.2">
      <c r="D147" s="5"/>
      <c r="E147" s="5"/>
      <c r="F147" s="5"/>
      <c r="G147" s="7"/>
      <c r="H147" s="7"/>
      <c r="I147" s="7"/>
      <c r="J147" s="6"/>
      <c r="K147" s="18"/>
    </row>
    <row r="148" spans="4:11" x14ac:dyDescent="0.2">
      <c r="D148" s="5"/>
      <c r="E148" s="5"/>
      <c r="F148" s="5"/>
      <c r="G148" s="7"/>
      <c r="H148" s="7"/>
      <c r="I148" s="7"/>
      <c r="J148" s="6"/>
      <c r="K148" s="18"/>
    </row>
    <row r="149" spans="4:11" x14ac:dyDescent="0.2">
      <c r="D149" s="5"/>
      <c r="E149" s="5"/>
      <c r="F149" s="5"/>
      <c r="G149" s="7"/>
      <c r="H149" s="7"/>
      <c r="I149" s="7"/>
      <c r="J149" s="6"/>
      <c r="K149" s="18"/>
    </row>
    <row r="150" spans="4:11" x14ac:dyDescent="0.2">
      <c r="D150" s="5"/>
      <c r="E150" s="5"/>
      <c r="F150" s="5"/>
      <c r="G150" s="7"/>
      <c r="H150" s="7"/>
      <c r="I150" s="7"/>
      <c r="J150" s="6"/>
      <c r="K150" s="18"/>
    </row>
    <row r="151" spans="4:11" x14ac:dyDescent="0.2">
      <c r="D151" s="5"/>
      <c r="E151" s="5"/>
      <c r="F151" s="5"/>
      <c r="G151" s="7"/>
      <c r="H151" s="7"/>
      <c r="I151" s="7"/>
      <c r="J151" s="6"/>
      <c r="K151" s="18"/>
    </row>
    <row r="152" spans="4:11" x14ac:dyDescent="0.2">
      <c r="D152" s="5"/>
      <c r="E152" s="5"/>
      <c r="F152" s="5"/>
      <c r="G152" s="7"/>
      <c r="H152" s="7"/>
      <c r="I152" s="7"/>
      <c r="J152" s="6"/>
      <c r="K152" s="18"/>
    </row>
    <row r="153" spans="4:11" x14ac:dyDescent="0.2">
      <c r="D153" s="5"/>
      <c r="E153" s="5"/>
      <c r="F153" s="5"/>
      <c r="G153" s="7"/>
      <c r="H153" s="7"/>
      <c r="I153" s="7"/>
      <c r="J153" s="6"/>
      <c r="K153" s="18"/>
    </row>
    <row r="154" spans="4:11" x14ac:dyDescent="0.2">
      <c r="D154" s="5"/>
      <c r="E154" s="5"/>
      <c r="F154" s="5"/>
      <c r="G154" s="7"/>
      <c r="H154" s="7"/>
      <c r="I154" s="7"/>
      <c r="J154" s="6"/>
      <c r="K154" s="18"/>
    </row>
    <row r="155" spans="4:11" x14ac:dyDescent="0.2">
      <c r="D155" s="5"/>
      <c r="E155" s="5"/>
      <c r="F155" s="5"/>
      <c r="G155" s="7"/>
      <c r="H155" s="7"/>
      <c r="I155" s="7"/>
      <c r="J155" s="6"/>
      <c r="K155" s="18"/>
    </row>
    <row r="156" spans="4:11" x14ac:dyDescent="0.2">
      <c r="D156" s="5"/>
      <c r="E156" s="5"/>
      <c r="F156" s="5"/>
      <c r="G156" s="7"/>
      <c r="H156" s="7"/>
      <c r="I156" s="7"/>
      <c r="J156" s="6"/>
      <c r="K156" s="18"/>
    </row>
    <row r="157" spans="4:11" x14ac:dyDescent="0.2">
      <c r="D157" s="5"/>
      <c r="E157" s="5"/>
      <c r="F157" s="5"/>
      <c r="G157" s="7"/>
      <c r="H157" s="7"/>
      <c r="I157" s="7"/>
      <c r="J157" s="6"/>
      <c r="K157" s="18"/>
    </row>
    <row r="158" spans="4:11" x14ac:dyDescent="0.2">
      <c r="D158" s="5"/>
      <c r="E158" s="5"/>
      <c r="F158" s="5"/>
      <c r="G158" s="7"/>
      <c r="H158" s="7"/>
      <c r="I158" s="7"/>
      <c r="J158" s="6"/>
      <c r="K158" s="18"/>
    </row>
    <row r="159" spans="4:11" x14ac:dyDescent="0.2">
      <c r="D159" s="5"/>
      <c r="E159" s="5"/>
      <c r="F159" s="5"/>
      <c r="G159" s="7"/>
      <c r="H159" s="7"/>
      <c r="I159" s="7"/>
      <c r="J159" s="6"/>
      <c r="K159" s="18"/>
    </row>
    <row r="160" spans="4:11" x14ac:dyDescent="0.2">
      <c r="D160" s="5"/>
      <c r="E160" s="5"/>
      <c r="F160" s="5"/>
      <c r="G160" s="7"/>
      <c r="H160" s="7"/>
      <c r="I160" s="7"/>
      <c r="J160" s="6"/>
      <c r="K160" s="18"/>
    </row>
    <row r="161" spans="4:11" x14ac:dyDescent="0.2">
      <c r="D161" s="5"/>
      <c r="E161" s="5"/>
      <c r="F161" s="5"/>
      <c r="G161" s="7"/>
      <c r="H161" s="7"/>
      <c r="I161" s="7"/>
      <c r="J161" s="6"/>
      <c r="K161" s="18"/>
    </row>
    <row r="162" spans="4:11" x14ac:dyDescent="0.2">
      <c r="D162" s="5"/>
      <c r="E162" s="5"/>
      <c r="F162" s="5"/>
      <c r="G162" s="7"/>
      <c r="H162" s="7"/>
      <c r="I162" s="7"/>
      <c r="J162" s="6"/>
      <c r="K162" s="18"/>
    </row>
    <row r="163" spans="4:11" x14ac:dyDescent="0.2">
      <c r="D163" s="5"/>
      <c r="E163" s="5"/>
      <c r="F163" s="5"/>
      <c r="G163" s="7"/>
      <c r="H163" s="7"/>
      <c r="I163" s="7"/>
      <c r="J163" s="6"/>
      <c r="K163" s="18"/>
    </row>
    <row r="164" spans="4:11" x14ac:dyDescent="0.2">
      <c r="D164" s="5"/>
      <c r="E164" s="5"/>
      <c r="F164" s="5"/>
      <c r="G164" s="7"/>
      <c r="H164" s="7"/>
      <c r="I164" s="7"/>
      <c r="J164" s="6"/>
      <c r="K164" s="18"/>
    </row>
    <row r="165" spans="4:11" x14ac:dyDescent="0.2">
      <c r="D165" s="5"/>
      <c r="E165" s="5"/>
      <c r="F165" s="5"/>
      <c r="G165" s="7"/>
      <c r="H165" s="7"/>
      <c r="I165" s="7"/>
      <c r="J165" s="6"/>
      <c r="K165" s="18"/>
    </row>
    <row r="166" spans="4:11" x14ac:dyDescent="0.2">
      <c r="D166" s="5"/>
      <c r="E166" s="5"/>
      <c r="F166" s="5"/>
      <c r="G166" s="7"/>
      <c r="H166" s="7"/>
      <c r="I166" s="7"/>
      <c r="J166" s="6"/>
      <c r="K166" s="18"/>
    </row>
    <row r="167" spans="4:11" x14ac:dyDescent="0.2">
      <c r="D167" s="5"/>
      <c r="E167" s="5"/>
      <c r="F167" s="5"/>
      <c r="G167" s="7"/>
      <c r="H167" s="7"/>
      <c r="I167" s="7"/>
      <c r="J167" s="6"/>
      <c r="K167" s="18"/>
    </row>
    <row r="168" spans="4:11" x14ac:dyDescent="0.2">
      <c r="D168" s="5"/>
      <c r="E168" s="5"/>
      <c r="F168" s="5"/>
      <c r="G168" s="7"/>
      <c r="H168" s="7"/>
      <c r="I168" s="7"/>
      <c r="J168" s="6"/>
      <c r="K168" s="18"/>
    </row>
    <row r="169" spans="4:11" x14ac:dyDescent="0.2">
      <c r="D169" s="5"/>
      <c r="E169" s="5"/>
      <c r="F169" s="5"/>
      <c r="G169" s="7"/>
      <c r="H169" s="7"/>
      <c r="I169" s="7"/>
      <c r="J169" s="6"/>
      <c r="K169" s="18"/>
    </row>
    <row r="170" spans="4:11" x14ac:dyDescent="0.2">
      <c r="D170" s="5"/>
      <c r="E170" s="5"/>
      <c r="F170" s="5"/>
      <c r="G170" s="7"/>
      <c r="H170" s="7"/>
      <c r="I170" s="7"/>
      <c r="J170" s="6"/>
      <c r="K170" s="18"/>
    </row>
    <row r="171" spans="4:11" x14ac:dyDescent="0.2">
      <c r="D171" s="5"/>
      <c r="E171" s="5"/>
      <c r="F171" s="5"/>
      <c r="G171" s="7"/>
      <c r="H171" s="7"/>
      <c r="I171" s="7"/>
      <c r="J171" s="6"/>
      <c r="K171" s="18"/>
    </row>
    <row r="172" spans="4:11" x14ac:dyDescent="0.2">
      <c r="D172" s="5"/>
      <c r="E172" s="5"/>
      <c r="F172" s="5"/>
      <c r="G172" s="7"/>
      <c r="H172" s="7"/>
      <c r="I172" s="7"/>
      <c r="J172" s="6"/>
      <c r="K172" s="18"/>
    </row>
    <row r="173" spans="4:11" x14ac:dyDescent="0.2">
      <c r="D173" s="5"/>
      <c r="E173" s="5"/>
      <c r="F173" s="5"/>
      <c r="G173" s="7"/>
      <c r="H173" s="7"/>
      <c r="I173" s="7"/>
      <c r="J173" s="6"/>
      <c r="K173" s="18"/>
    </row>
    <row r="174" spans="4:11" x14ac:dyDescent="0.2">
      <c r="D174" s="5"/>
      <c r="E174" s="5"/>
      <c r="F174" s="5"/>
      <c r="G174" s="7"/>
      <c r="H174" s="7"/>
      <c r="I174" s="7"/>
      <c r="J174" s="6"/>
      <c r="K174" s="18"/>
    </row>
    <row r="175" spans="4:11" x14ac:dyDescent="0.2">
      <c r="D175" s="5"/>
      <c r="E175" s="5"/>
      <c r="F175" s="5"/>
      <c r="G175" s="7"/>
      <c r="H175" s="7"/>
      <c r="I175" s="7"/>
      <c r="J175" s="6"/>
      <c r="K175" s="18"/>
    </row>
    <row r="176" spans="4:11" x14ac:dyDescent="0.2">
      <c r="D176" s="5"/>
      <c r="E176" s="5"/>
      <c r="F176" s="5"/>
      <c r="G176" s="7"/>
      <c r="H176" s="7"/>
      <c r="I176" s="7"/>
      <c r="J176" s="6"/>
      <c r="K176" s="18"/>
    </row>
    <row r="177" spans="4:11" x14ac:dyDescent="0.2">
      <c r="D177" s="5"/>
      <c r="E177" s="5"/>
      <c r="F177" s="5"/>
      <c r="G177" s="7"/>
      <c r="H177" s="7"/>
      <c r="I177" s="7"/>
      <c r="J177" s="6"/>
      <c r="K177" s="18"/>
    </row>
    <row r="178" spans="4:11" x14ac:dyDescent="0.2">
      <c r="D178" s="5"/>
      <c r="E178" s="5"/>
      <c r="F178" s="5"/>
      <c r="G178" s="7"/>
      <c r="H178" s="7"/>
      <c r="I178" s="7"/>
      <c r="J178" s="6"/>
      <c r="K178" s="18"/>
    </row>
    <row r="179" spans="4:11" x14ac:dyDescent="0.2">
      <c r="D179" s="5"/>
      <c r="E179" s="5"/>
      <c r="F179" s="5"/>
      <c r="G179" s="7"/>
      <c r="H179" s="7"/>
      <c r="I179" s="7"/>
      <c r="J179" s="6"/>
      <c r="K179" s="18"/>
    </row>
    <row r="180" spans="4:11" x14ac:dyDescent="0.2">
      <c r="D180" s="5"/>
      <c r="E180" s="5"/>
      <c r="F180" s="5"/>
      <c r="G180" s="7"/>
      <c r="H180" s="7"/>
      <c r="I180" s="7"/>
      <c r="J180" s="6"/>
      <c r="K180" s="18"/>
    </row>
    <row r="181" spans="4:11" x14ac:dyDescent="0.2">
      <c r="D181" s="5"/>
      <c r="E181" s="5"/>
      <c r="F181" s="5"/>
      <c r="G181" s="7"/>
      <c r="H181" s="7"/>
      <c r="I181" s="7"/>
      <c r="J181" s="6"/>
      <c r="K181" s="18"/>
    </row>
    <row r="182" spans="4:11" x14ac:dyDescent="0.2">
      <c r="D182" s="5"/>
      <c r="E182" s="5"/>
      <c r="F182" s="5"/>
      <c r="G182" s="7"/>
      <c r="H182" s="7"/>
      <c r="I182" s="7"/>
      <c r="J182" s="6"/>
      <c r="K182" s="18"/>
    </row>
    <row r="183" spans="4:11" x14ac:dyDescent="0.2">
      <c r="D183" s="5"/>
      <c r="E183" s="5"/>
      <c r="F183" s="5"/>
      <c r="G183" s="7"/>
      <c r="H183" s="7"/>
      <c r="I183" s="7"/>
      <c r="J183" s="6"/>
      <c r="K183" s="18"/>
    </row>
    <row r="184" spans="4:11" x14ac:dyDescent="0.2">
      <c r="D184" s="5"/>
      <c r="E184" s="5"/>
      <c r="F184" s="5"/>
      <c r="G184" s="7"/>
      <c r="H184" s="7"/>
      <c r="I184" s="7"/>
      <c r="J184" s="6"/>
      <c r="K184" s="18"/>
    </row>
    <row r="185" spans="4:11" x14ac:dyDescent="0.2">
      <c r="D185" s="5"/>
      <c r="E185" s="5"/>
      <c r="F185" s="5"/>
      <c r="G185" s="7"/>
      <c r="H185" s="7"/>
      <c r="I185" s="7"/>
      <c r="J185" s="6"/>
      <c r="K185" s="18"/>
    </row>
    <row r="186" spans="4:11" x14ac:dyDescent="0.2">
      <c r="D186" s="5"/>
      <c r="E186" s="5"/>
      <c r="F186" s="5"/>
      <c r="G186" s="7"/>
      <c r="H186" s="7"/>
      <c r="I186" s="7"/>
      <c r="J186" s="6"/>
      <c r="K186" s="18"/>
    </row>
    <row r="187" spans="4:11" x14ac:dyDescent="0.2">
      <c r="D187" s="5"/>
      <c r="E187" s="5"/>
      <c r="F187" s="5"/>
      <c r="G187" s="7"/>
      <c r="H187" s="7"/>
      <c r="I187" s="7"/>
      <c r="J187" s="6"/>
      <c r="K187" s="18"/>
    </row>
  </sheetData>
  <mergeCells count="5">
    <mergeCell ref="D10:F10"/>
    <mergeCell ref="G10:I10"/>
    <mergeCell ref="M10:M11"/>
    <mergeCell ref="O10:O11"/>
    <mergeCell ref="P10:P1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workbookViewId="0"/>
  </sheetViews>
  <sheetFormatPr defaultRowHeight="12.75" x14ac:dyDescent="0.2"/>
  <cols>
    <col min="1" max="1" width="3.7109375" customWidth="1"/>
    <col min="2" max="2" width="25" customWidth="1"/>
    <col min="3" max="3" width="10.5703125" bestFit="1" customWidth="1"/>
    <col min="5" max="5" width="26.28515625" customWidth="1"/>
    <col min="6" max="6" width="13.5703125" customWidth="1"/>
    <col min="7" max="7" width="18" customWidth="1"/>
  </cols>
  <sheetData>
    <row r="2" spans="2:8" x14ac:dyDescent="0.2">
      <c r="B2" s="2" t="s">
        <v>110</v>
      </c>
    </row>
    <row r="3" spans="2:8" ht="13.5" thickBot="1" x14ac:dyDescent="0.25"/>
    <row r="4" spans="2:8" ht="13.5" thickBot="1" x14ac:dyDescent="0.25">
      <c r="B4" s="159" t="s">
        <v>101</v>
      </c>
      <c r="C4" s="37" t="s">
        <v>114</v>
      </c>
      <c r="D4" s="37" t="s">
        <v>100</v>
      </c>
      <c r="E4" s="21" t="s">
        <v>110</v>
      </c>
    </row>
    <row r="5" spans="2:8" x14ac:dyDescent="0.2">
      <c r="B5" s="26">
        <v>1</v>
      </c>
      <c r="C5" s="130">
        <f ca="1">OFFSET('Minister triathlon'!$J$11, MATCH(B5, 'Minister triathlon'!$K$12:$K$41,0), 0)</f>
        <v>0.10025114420625515</v>
      </c>
      <c r="D5" s="27">
        <f>VLOOKUP(B5,Parameters!$A$25:$B$27, 2)</f>
        <v>20</v>
      </c>
      <c r="E5" s="193">
        <f ca="1">Parameters!$B$22*D5*60*(Parameters!$B$29-C5)/Hour</f>
        <v>712.76704685985169</v>
      </c>
      <c r="G5" s="160"/>
      <c r="H5" s="160"/>
    </row>
    <row r="6" spans="2:8" x14ac:dyDescent="0.2">
      <c r="B6" s="28">
        <v>2</v>
      </c>
      <c r="C6" s="121">
        <f ca="1">OFFSET('Minister triathlon'!$J$11, MATCH(B6, 'Minister triathlon'!$K$12:$K$41,0), 0)</f>
        <v>0.10346166076152798</v>
      </c>
      <c r="D6" s="29">
        <f>VLOOKUP(B6,Parameters!$A$25:$B$27, 2)</f>
        <v>7</v>
      </c>
      <c r="E6" s="140">
        <f ca="1">Parameters!$B$22*D6*60*(Parameters!$B$29-C6)/Hour</f>
        <v>217.10645952379801</v>
      </c>
    </row>
    <row r="7" spans="2:8" ht="13.5" thickBot="1" x14ac:dyDescent="0.25">
      <c r="B7" s="30">
        <v>3</v>
      </c>
      <c r="C7" s="124">
        <f ca="1">OFFSET('Minister triathlon'!$J$11, MATCH(B7, 'Minister triathlon'!$K$12:$K$41,0), 0)</f>
        <v>0.10367426226448055</v>
      </c>
      <c r="D7" s="31">
        <f>VLOOKUP(B7,Parameters!$A$25:$B$27, 2)</f>
        <v>3</v>
      </c>
      <c r="E7" s="141">
        <f ca="1">Parameters!$B$22*D7*60*(Parameters!$B$29-C7)/Hour</f>
        <v>92.127187017444015</v>
      </c>
    </row>
    <row r="8" spans="2:8" ht="13.5" thickBot="1" x14ac:dyDescent="0.25"/>
    <row r="9" spans="2:8" ht="13.5" thickBot="1" x14ac:dyDescent="0.25">
      <c r="D9" s="69" t="s">
        <v>113</v>
      </c>
      <c r="E9" s="142">
        <f ca="1">SUM(E5:E7)</f>
        <v>1022.0006934010937</v>
      </c>
    </row>
    <row r="11" spans="2:8" ht="14.25" customHeight="1" x14ac:dyDescent="0.2">
      <c r="B11" s="2" t="s">
        <v>105</v>
      </c>
      <c r="E11" s="2" t="s">
        <v>108</v>
      </c>
    </row>
    <row r="12" spans="2:8" ht="14.25" customHeight="1" thickBot="1" x14ac:dyDescent="0.25">
      <c r="B12" s="56"/>
    </row>
    <row r="13" spans="2:8" x14ac:dyDescent="0.2">
      <c r="B13" s="143" t="s">
        <v>111</v>
      </c>
      <c r="C13" s="61">
        <f>(Parameters!B15-Parameters!A20)*Parameters!B17</f>
        <v>1000</v>
      </c>
      <c r="E13" s="143" t="s">
        <v>102</v>
      </c>
      <c r="F13" s="61">
        <f>Parameters!B31</f>
        <v>150</v>
      </c>
    </row>
    <row r="14" spans="2:8" ht="13.5" thickBot="1" x14ac:dyDescent="0.25">
      <c r="B14" s="144" t="s">
        <v>112</v>
      </c>
      <c r="C14" s="63">
        <f>Parameters!A20*Parameters!B17*(1-Parameters!B20)</f>
        <v>375</v>
      </c>
      <c r="E14" s="145" t="s">
        <v>109</v>
      </c>
      <c r="F14" s="62">
        <f>Parameters!B33*Parameters!B15</f>
        <v>60</v>
      </c>
    </row>
    <row r="15" spans="2:8" ht="13.5" thickBot="1" x14ac:dyDescent="0.25">
      <c r="B15" s="4"/>
      <c r="E15" s="144" t="s">
        <v>110</v>
      </c>
      <c r="F15" s="146">
        <f ca="1">E9</f>
        <v>1022.0006934010937</v>
      </c>
    </row>
    <row r="16" spans="2:8" ht="13.5" thickBot="1" x14ac:dyDescent="0.25">
      <c r="B16" s="4"/>
      <c r="E16" s="4"/>
    </row>
    <row r="17" spans="2:6" ht="13.5" thickBot="1" x14ac:dyDescent="0.25">
      <c r="B17" s="147" t="s">
        <v>113</v>
      </c>
      <c r="C17" s="64">
        <f>C13+C14</f>
        <v>1375</v>
      </c>
      <c r="E17" s="147" t="s">
        <v>113</v>
      </c>
      <c r="F17" s="148">
        <f ca="1">SUM(F13:F15)</f>
        <v>1232.0006934010937</v>
      </c>
    </row>
    <row r="18" spans="2:6" ht="13.5" thickBot="1" x14ac:dyDescent="0.25">
      <c r="B18" s="4"/>
    </row>
    <row r="19" spans="2:6" ht="13.5" thickBot="1" x14ac:dyDescent="0.25">
      <c r="B19" s="147" t="s">
        <v>115</v>
      </c>
      <c r="C19" s="148">
        <f ca="1">C17-F17</f>
        <v>142.99930659890629</v>
      </c>
    </row>
  </sheetData>
  <pageMargins left="0.7" right="0.7" top="0.75" bottom="0.75" header="0.3" footer="0.3"/>
  <pageSetup paperSize="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E4" sqref="E4"/>
    </sheetView>
  </sheetViews>
  <sheetFormatPr defaultRowHeight="12.75" x14ac:dyDescent="0.2"/>
  <cols>
    <col min="1" max="1" width="22.7109375" bestFit="1" customWidth="1"/>
    <col min="2" max="2" width="8.140625" bestFit="1" customWidth="1"/>
  </cols>
  <sheetData>
    <row r="1" spans="1:2" x14ac:dyDescent="0.2">
      <c r="A1" s="9" t="s">
        <v>81</v>
      </c>
    </row>
    <row r="3" spans="1:2" x14ac:dyDescent="0.2">
      <c r="B3" t="s">
        <v>76</v>
      </c>
    </row>
    <row r="4" spans="1:2" x14ac:dyDescent="0.2">
      <c r="A4" t="s">
        <v>65</v>
      </c>
      <c r="B4" s="8">
        <f>'Minister triathlon'!M3</f>
        <v>0.10025114420625515</v>
      </c>
    </row>
    <row r="5" spans="1:2" x14ac:dyDescent="0.2">
      <c r="A5" t="s">
        <v>77</v>
      </c>
      <c r="B5" s="8">
        <f>'Minister triathlon'!M4</f>
        <v>0.10801654753497256</v>
      </c>
    </row>
    <row r="6" spans="1:2" x14ac:dyDescent="0.2">
      <c r="A6" t="s">
        <v>79</v>
      </c>
      <c r="B6" s="8">
        <f>'Minister triathlon'!M5</f>
        <v>0.11198744467386761</v>
      </c>
    </row>
    <row r="7" spans="1:2" x14ac:dyDescent="0.2">
      <c r="A7" t="s">
        <v>78</v>
      </c>
      <c r="B7" s="8">
        <f>'Minister triathlon'!M6</f>
        <v>0.1155550395195355</v>
      </c>
    </row>
    <row r="8" spans="1:2" x14ac:dyDescent="0.2">
      <c r="A8" t="s">
        <v>66</v>
      </c>
      <c r="B8" s="8">
        <f>'Minister triathlon'!M7</f>
        <v>0.12425399814426483</v>
      </c>
    </row>
    <row r="9" spans="1:2" x14ac:dyDescent="0.2">
      <c r="B9" s="8">
        <f>B8-B4</f>
        <v>2.4002853938009674E-2</v>
      </c>
    </row>
    <row r="10" spans="1:2" x14ac:dyDescent="0.2">
      <c r="A10" t="s">
        <v>82</v>
      </c>
    </row>
    <row r="11" spans="1:2" x14ac:dyDescent="0.2">
      <c r="B11" t="s">
        <v>76</v>
      </c>
    </row>
    <row r="12" spans="1:2" x14ac:dyDescent="0.2">
      <c r="A12" t="s">
        <v>65</v>
      </c>
      <c r="B12" s="8">
        <f>B4</f>
        <v>0.10025114420625515</v>
      </c>
    </row>
    <row r="13" spans="1:2" x14ac:dyDescent="0.2">
      <c r="A13" t="s">
        <v>77</v>
      </c>
      <c r="B13" s="8">
        <f>B5-B4</f>
        <v>7.7654033287174046E-3</v>
      </c>
    </row>
    <row r="14" spans="1:2" x14ac:dyDescent="0.2">
      <c r="A14" t="s">
        <v>79</v>
      </c>
      <c r="B14" s="8">
        <f t="shared" ref="B14" si="0">B6-B5</f>
        <v>3.9708971388950492E-3</v>
      </c>
    </row>
    <row r="15" spans="1:2" x14ac:dyDescent="0.2">
      <c r="A15" t="s">
        <v>78</v>
      </c>
      <c r="B15" s="8">
        <f t="shared" ref="B15" si="1">B7-B6</f>
        <v>3.5675948456678902E-3</v>
      </c>
    </row>
    <row r="16" spans="1:2" x14ac:dyDescent="0.2">
      <c r="A16" t="s">
        <v>66</v>
      </c>
      <c r="B16" s="8">
        <f t="shared" ref="B16" si="2">B8-B7</f>
        <v>8.6989586247293305E-3</v>
      </c>
    </row>
    <row r="23" spans="1:4" x14ac:dyDescent="0.2">
      <c r="B23" t="s">
        <v>105</v>
      </c>
      <c r="C23" t="s">
        <v>108</v>
      </c>
      <c r="D23" t="s">
        <v>117</v>
      </c>
    </row>
    <row r="24" spans="1:4" x14ac:dyDescent="0.2">
      <c r="A24" t="s">
        <v>111</v>
      </c>
      <c r="B24">
        <f>Cashflows!C13</f>
        <v>1000</v>
      </c>
    </row>
    <row r="25" spans="1:4" x14ac:dyDescent="0.2">
      <c r="A25" t="s">
        <v>118</v>
      </c>
      <c r="B25">
        <f>Cashflows!C14</f>
        <v>375</v>
      </c>
    </row>
    <row r="26" spans="1:4" x14ac:dyDescent="0.2">
      <c r="A26" t="s">
        <v>102</v>
      </c>
      <c r="B26">
        <v>0</v>
      </c>
      <c r="C26">
        <f>-Cashflows!F13</f>
        <v>-150</v>
      </c>
    </row>
    <row r="27" spans="1:4" x14ac:dyDescent="0.2">
      <c r="A27" t="s">
        <v>119</v>
      </c>
      <c r="B27">
        <v>0</v>
      </c>
      <c r="C27">
        <f>-Cashflows!F14</f>
        <v>-60</v>
      </c>
    </row>
    <row r="28" spans="1:4" x14ac:dyDescent="0.2">
      <c r="A28" t="s">
        <v>110</v>
      </c>
      <c r="B28">
        <v>0</v>
      </c>
      <c r="C28">
        <f ca="1">-Cashflows!F15</f>
        <v>-1022.0006934010937</v>
      </c>
    </row>
    <row r="29" spans="1:4" x14ac:dyDescent="0.2">
      <c r="A29" t="s">
        <v>117</v>
      </c>
      <c r="D29" s="137">
        <f ca="1">Cashflows!C19</f>
        <v>142.99930659890629</v>
      </c>
    </row>
    <row r="31" spans="1:4" x14ac:dyDescent="0.2">
      <c r="C31" s="137"/>
    </row>
    <row r="32" spans="1:4" x14ac:dyDescent="0.2">
      <c r="C32" s="137"/>
    </row>
  </sheetData>
  <pageMargins left="0.7" right="0.7" top="0.75" bottom="0.75" header="0.3" footer="0.3"/>
  <pageSetup paperSize="0"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7"/>
  <sheetViews>
    <sheetView zoomScaleNormal="100" workbookViewId="0"/>
  </sheetViews>
  <sheetFormatPr defaultRowHeight="12.75" x14ac:dyDescent="0.2"/>
  <cols>
    <col min="1" max="1" width="14.140625" bestFit="1" customWidth="1"/>
    <col min="2" max="2" width="14.85546875" bestFit="1" customWidth="1"/>
    <col min="3" max="3" width="20.140625" bestFit="1" customWidth="1"/>
    <col min="4" max="4" width="9.5703125" bestFit="1" customWidth="1"/>
    <col min="10" max="10" width="10.7109375" bestFit="1" customWidth="1"/>
    <col min="11" max="11" width="10.7109375" style="17" customWidth="1"/>
    <col min="12" max="12" width="7.42578125" customWidth="1"/>
    <col min="13" max="13" width="15.5703125" customWidth="1"/>
    <col min="15" max="15" width="9.28515625" customWidth="1"/>
    <col min="16" max="16" width="16.140625" bestFit="1" customWidth="1"/>
  </cols>
  <sheetData>
    <row r="1" spans="1:19" ht="13.5" thickBot="1" x14ac:dyDescent="0.25">
      <c r="A1" s="9" t="s">
        <v>139</v>
      </c>
      <c r="C1" s="167" t="s">
        <v>134</v>
      </c>
      <c r="D1" s="182">
        <v>0.90033634137172003</v>
      </c>
      <c r="G1" s="173" t="s">
        <v>133</v>
      </c>
      <c r="H1" s="179">
        <f ca="1">'Cashflows Adj Swim'!C19</f>
        <v>9.2077318640804151E-6</v>
      </c>
      <c r="I1" s="174" t="s">
        <v>132</v>
      </c>
      <c r="L1" s="128" t="s">
        <v>80</v>
      </c>
      <c r="M1" s="21"/>
    </row>
    <row r="2" spans="1:19" ht="13.5" thickBot="1" x14ac:dyDescent="0.25">
      <c r="A2" s="9"/>
      <c r="C2" s="167"/>
      <c r="I2" s="227" t="str">
        <f ca="1">IF(ABS(H1)&lt;0.001,"Goalseek OK","Rerun Goalseek")</f>
        <v>Goalseek OK</v>
      </c>
      <c r="J2" s="227"/>
      <c r="L2" s="168"/>
      <c r="M2" s="169"/>
    </row>
    <row r="3" spans="1:19" ht="13.5" thickBot="1" x14ac:dyDescent="0.25">
      <c r="A3" s="9"/>
      <c r="I3" s="17"/>
      <c r="K3" s="19"/>
      <c r="L3" s="22" t="s">
        <v>65</v>
      </c>
      <c r="M3" s="122">
        <f>MIN(J12:J41)</f>
        <v>9.7152055701230436E-2</v>
      </c>
      <c r="O3" s="159"/>
      <c r="P3" s="21" t="s">
        <v>122</v>
      </c>
    </row>
    <row r="4" spans="1:19" x14ac:dyDescent="0.2">
      <c r="A4" s="9"/>
      <c r="C4" s="101" t="s">
        <v>65</v>
      </c>
      <c r="D4" s="102">
        <f t="shared" ref="D4:J4" si="0">MIN(D12:D41)</f>
        <v>2.2201366083999794</v>
      </c>
      <c r="E4" s="103">
        <f t="shared" si="0"/>
        <v>25.625500737019689</v>
      </c>
      <c r="F4" s="103">
        <f t="shared" si="0"/>
        <v>11.049642038665413</v>
      </c>
      <c r="G4" s="104">
        <f t="shared" si="0"/>
        <v>3.3743576680681647E-2</v>
      </c>
      <c r="H4" s="104">
        <f t="shared" si="0"/>
        <v>3.7587519675914734E-2</v>
      </c>
      <c r="I4" s="104">
        <f t="shared" si="0"/>
        <v>1.6661620134604951E-2</v>
      </c>
      <c r="J4" s="105">
        <f t="shared" si="0"/>
        <v>9.7152055701230436E-2</v>
      </c>
      <c r="L4" s="22" t="s">
        <v>77</v>
      </c>
      <c r="M4" s="122">
        <f>QUARTILE($J$12:$J$41,1)</f>
        <v>0.10423244553985196</v>
      </c>
      <c r="O4" s="22" t="s">
        <v>58</v>
      </c>
      <c r="P4" s="153">
        <f>COUNTIF(O12:O41, O4)</f>
        <v>14</v>
      </c>
    </row>
    <row r="5" spans="1:19" ht="13.5" thickBot="1" x14ac:dyDescent="0.25">
      <c r="C5" s="106" t="s">
        <v>66</v>
      </c>
      <c r="D5" s="107">
        <f t="shared" ref="D5:J5" si="1">MAX(D12:D41)</f>
        <v>3.704408728893374</v>
      </c>
      <c r="E5" s="108">
        <f t="shared" si="1"/>
        <v>33.255719206206969</v>
      </c>
      <c r="F5" s="108">
        <f t="shared" si="1"/>
        <v>15.004543254516319</v>
      </c>
      <c r="G5" s="109">
        <f t="shared" si="1"/>
        <v>5.6302841693190088E-2</v>
      </c>
      <c r="H5" s="109">
        <f t="shared" si="1"/>
        <v>4.8779534606096374E-2</v>
      </c>
      <c r="I5" s="109">
        <f t="shared" si="1"/>
        <v>2.2625167324442599E-2</v>
      </c>
      <c r="J5" s="110">
        <f t="shared" si="1"/>
        <v>0.11908301431102206</v>
      </c>
      <c r="L5" s="22" t="s">
        <v>79</v>
      </c>
      <c r="M5" s="122">
        <f>AVERAGE($J$12:$J$41)</f>
        <v>0.10793080980213027</v>
      </c>
      <c r="N5" s="163"/>
      <c r="O5" s="23" t="s">
        <v>60</v>
      </c>
      <c r="P5" s="155">
        <f>COUNTIF(O12:O41, O5)</f>
        <v>16</v>
      </c>
    </row>
    <row r="6" spans="1:19" ht="13.5" thickBot="1" x14ac:dyDescent="0.25">
      <c r="C6" s="111" t="s">
        <v>67</v>
      </c>
      <c r="D6" s="112">
        <f t="shared" ref="D6:J6" si="2">AVERAGE(D12:D41)</f>
        <v>2.8614993875612074</v>
      </c>
      <c r="E6" s="113">
        <f t="shared" si="2"/>
        <v>28.767546451570436</v>
      </c>
      <c r="F6" s="113">
        <f t="shared" si="2"/>
        <v>13.681300194675551</v>
      </c>
      <c r="G6" s="114">
        <f t="shared" si="2"/>
        <v>4.4169558125899164E-2</v>
      </c>
      <c r="H6" s="114">
        <f t="shared" si="2"/>
        <v>4.3559268621935182E-2</v>
      </c>
      <c r="I6" s="114">
        <f t="shared" si="2"/>
        <v>1.8346658980221833E-2</v>
      </c>
      <c r="J6" s="115">
        <f t="shared" si="2"/>
        <v>0.10793080980213027</v>
      </c>
      <c r="L6" s="22" t="s">
        <v>78</v>
      </c>
      <c r="M6" s="122">
        <f>QUARTILE($J$12:$J$41,3)</f>
        <v>0.11112259000690038</v>
      </c>
    </row>
    <row r="7" spans="1:19" ht="13.5" thickBot="1" x14ac:dyDescent="0.25">
      <c r="C7" s="98" t="s">
        <v>84</v>
      </c>
      <c r="D7" s="20"/>
      <c r="E7" s="20"/>
      <c r="F7" s="20"/>
      <c r="G7" s="176">
        <f>Hour/(D6/Swim_1)</f>
        <v>4.3683392190600724E-2</v>
      </c>
      <c r="H7" s="176">
        <f>Hour/(E6/Bike_1)</f>
        <v>4.3451741777991E-2</v>
      </c>
      <c r="I7" s="176">
        <f>Hour/(F6/Run_1)</f>
        <v>1.8273117060708475E-2</v>
      </c>
      <c r="J7" s="177">
        <f>SUM(G7:I7)+'Amended data'!$O$5+'Amended data'!$Q$5</f>
        <v>0.10726357510337428</v>
      </c>
      <c r="L7" s="23" t="s">
        <v>66</v>
      </c>
      <c r="M7" s="125">
        <f>MAX(J12:J41)</f>
        <v>0.11908301431102206</v>
      </c>
    </row>
    <row r="8" spans="1:19" x14ac:dyDescent="0.2">
      <c r="C8" s="98"/>
      <c r="D8" s="194"/>
      <c r="E8" s="20"/>
      <c r="F8" s="20"/>
      <c r="G8" s="99"/>
      <c r="H8" s="99"/>
      <c r="I8" s="99"/>
      <c r="J8" s="100"/>
      <c r="L8" s="165"/>
      <c r="M8" s="165"/>
    </row>
    <row r="9" spans="1:19" ht="19.5" customHeight="1" thickBot="1" x14ac:dyDescent="0.25">
      <c r="C9" s="170" t="s">
        <v>130</v>
      </c>
      <c r="D9" s="178">
        <f>(1/(1+2*EXP($D$1*(Parameters!$C$9-Parameters!$B$9)))+2/3)</f>
        <v>0.72853371668236355</v>
      </c>
      <c r="E9" s="175">
        <f>(1/(1+2*EXP(bike_param*(Parameters!$C$10-Parameters!$B$10)))+2/3)</f>
        <v>0.86557246933933163</v>
      </c>
      <c r="F9" s="175">
        <f>(1/(1+2*EXP(run_param*(Parameters!$C$11-Parameters!$B$11)))+2/3)</f>
        <v>0.99446778347988718</v>
      </c>
      <c r="G9" s="171"/>
      <c r="H9" s="171"/>
      <c r="I9" s="171"/>
      <c r="J9" s="172" t="s">
        <v>136</v>
      </c>
      <c r="K9" s="180">
        <f>1-AVERAGE(G12:G41)/AVERAGE('Minister triathlon'!G12:G41)</f>
        <v>8.4116838165851915E-2</v>
      </c>
      <c r="M9" s="172" t="s">
        <v>135</v>
      </c>
      <c r="N9" s="181">
        <f>1-'Minister triathlon'!D9/'Minister triathlon Adj Swim'!D9</f>
        <v>8.4116838165851693E-2</v>
      </c>
    </row>
    <row r="10" spans="1:19" x14ac:dyDescent="0.2">
      <c r="A10" s="116"/>
      <c r="B10" s="117"/>
      <c r="C10" s="93" t="str">
        <f>'Current speeds'!C8</f>
        <v>Unique identifier</v>
      </c>
      <c r="D10" s="222" t="s">
        <v>69</v>
      </c>
      <c r="E10" s="223"/>
      <c r="F10" s="224"/>
      <c r="G10" s="222" t="s">
        <v>70</v>
      </c>
      <c r="H10" s="223"/>
      <c r="I10" s="224"/>
      <c r="J10" s="228" t="s">
        <v>71</v>
      </c>
      <c r="K10" s="97"/>
      <c r="M10" s="225" t="s">
        <v>97</v>
      </c>
      <c r="O10" s="225" t="s">
        <v>151</v>
      </c>
      <c r="P10" s="225" t="s">
        <v>150</v>
      </c>
    </row>
    <row r="11" spans="1:19" ht="13.5" thickBot="1" x14ac:dyDescent="0.25">
      <c r="A11" s="118" t="str">
        <f>'Amended data'!K9</f>
        <v>Firstname</v>
      </c>
      <c r="B11" s="119" t="str">
        <f>'Amended data'!L9</f>
        <v>Lastname</v>
      </c>
      <c r="C11" s="82"/>
      <c r="D11" s="23" t="s">
        <v>58</v>
      </c>
      <c r="E11" s="36" t="s">
        <v>60</v>
      </c>
      <c r="F11" s="164" t="s">
        <v>59</v>
      </c>
      <c r="G11" s="23" t="s">
        <v>58</v>
      </c>
      <c r="H11" s="36" t="s">
        <v>60</v>
      </c>
      <c r="I11" s="164" t="s">
        <v>59</v>
      </c>
      <c r="J11" s="229"/>
      <c r="K11" s="34" t="s">
        <v>75</v>
      </c>
      <c r="M11" s="226"/>
      <c r="O11" s="226"/>
      <c r="P11" s="226"/>
    </row>
    <row r="12" spans="1:19" x14ac:dyDescent="0.2">
      <c r="A12" s="75" t="str">
        <f>'Amended data'!K10</f>
        <v>Steve</v>
      </c>
      <c r="B12" s="76" t="str">
        <f>'Amended data'!L10</f>
        <v>Greene</v>
      </c>
      <c r="C12" s="26" t="str">
        <f t="shared" ref="C12:C41" si="3">A12&amp;B12</f>
        <v>SteveGreene</v>
      </c>
      <c r="D12" s="129">
        <f>VLOOKUP($C12,'Current speeds'!$C$9:$I$38,D$43,FALSE)*D$9</f>
        <v>3.0687067629366327</v>
      </c>
      <c r="E12" s="129">
        <f>VLOOKUP($C12,'Current speeds'!$C$9:$I$38,E$43,FALSE)*E$9</f>
        <v>31.764127315204831</v>
      </c>
      <c r="F12" s="129">
        <f>VLOOKUP($C12,'Current speeds'!$C$9:$I$38,F$43,FALSE)*F$9</f>
        <v>14.061602594373895</v>
      </c>
      <c r="G12" s="130">
        <f>Hour/(D12/Swim_1)</f>
        <v>4.0733771473289902E-2</v>
      </c>
      <c r="H12" s="130">
        <f>Hour/(E12/Bike_1)</f>
        <v>3.9352568625477417E-2</v>
      </c>
      <c r="I12" s="130">
        <f t="shared" ref="I12:I41" si="4">Hour/(F12/Run_1)</f>
        <v>1.7778912348157674E-2</v>
      </c>
      <c r="J12" s="131">
        <f>SUM(G12:I12)+'Amended data'!$O$5+'Amended data'!$Q$5</f>
        <v>9.9720576520999082E-2</v>
      </c>
      <c r="K12" s="62">
        <f>RANK(J12,$J$12:$J$41,1)</f>
        <v>2</v>
      </c>
      <c r="M12" s="126" t="b">
        <f>J12&gt;'Amended data'!M10</f>
        <v>1</v>
      </c>
      <c r="O12" s="156" t="str">
        <f>IF(G12=P12,G$11,IF(H12=P12,H$11,IF(I12=P12,I$11,"Error")))</f>
        <v>Swim</v>
      </c>
      <c r="P12" s="200">
        <f>MAX(G12:I12)</f>
        <v>4.0733771473289902E-2</v>
      </c>
      <c r="S12" s="195"/>
    </row>
    <row r="13" spans="1:19" x14ac:dyDescent="0.2">
      <c r="A13" s="75" t="str">
        <f>'Amended data'!K11</f>
        <v>Alan</v>
      </c>
      <c r="B13" s="76" t="str">
        <f>'Amended data'!L11</f>
        <v>Clark</v>
      </c>
      <c r="C13" s="28" t="str">
        <f t="shared" si="3"/>
        <v>AlanClark</v>
      </c>
      <c r="D13" s="120">
        <f>VLOOKUP($C13,'Current speeds'!$C$9:$I$38,D$43,FALSE)*D$9</f>
        <v>3.0928318161043737</v>
      </c>
      <c r="E13" s="120">
        <f>VLOOKUP($C13,'Current speeds'!$C$9:$I$38,E$43,FALSE)*E$9</f>
        <v>31.036463044039778</v>
      </c>
      <c r="F13" s="120">
        <f>VLOOKUP($C13,'Current speeds'!$C$9:$I$38,F$43,FALSE)*F$9</f>
        <v>14.354787572283856</v>
      </c>
      <c r="G13" s="121">
        <f t="shared" ref="G13:G41" si="5">Hour/(D13/Swim_1)</f>
        <v>4.0416035346353157E-2</v>
      </c>
      <c r="H13" s="121">
        <f t="shared" ref="H13:H41" si="6">Hour/(E13/Bike_1)</f>
        <v>4.0275207849112468E-2</v>
      </c>
      <c r="I13" s="121">
        <f t="shared" si="4"/>
        <v>1.7415792378753039E-2</v>
      </c>
      <c r="J13" s="122">
        <f>SUM(G13:I13)+'Amended data'!$O$5+'Amended data'!$Q$5</f>
        <v>9.9962359648292753E-2</v>
      </c>
      <c r="K13" s="62">
        <f t="shared" ref="K13:K41" si="7">RANK(J13,$J$12:$J$41,1)</f>
        <v>3</v>
      </c>
      <c r="M13" s="126" t="b">
        <f>J13&gt;'Amended data'!M11</f>
        <v>1</v>
      </c>
      <c r="O13" s="157" t="str">
        <f t="shared" ref="O13:O41" si="8">IF(G13=P13,G$11,IF(H13=P13,H$11,IF(I13=P13,I$11,"Error")))</f>
        <v>Swim</v>
      </c>
      <c r="P13" s="201">
        <f t="shared" ref="P13:P41" si="9">MAX(G13:I13)</f>
        <v>4.0416035346353157E-2</v>
      </c>
      <c r="S13" s="195"/>
    </row>
    <row r="14" spans="1:19" x14ac:dyDescent="0.2">
      <c r="A14" s="75" t="str">
        <f>'Amended data'!K12</f>
        <v>Nick</v>
      </c>
      <c r="B14" s="76" t="str">
        <f>'Amended data'!L12</f>
        <v>Cridlan</v>
      </c>
      <c r="C14" s="28" t="str">
        <f t="shared" si="3"/>
        <v>NickCridlan</v>
      </c>
      <c r="D14" s="120">
        <f>VLOOKUP($C14,'Current speeds'!$C$9:$I$38,D$43,FALSE)*D$9</f>
        <v>2.9894240654139534</v>
      </c>
      <c r="E14" s="120">
        <f>VLOOKUP($C14,'Current speeds'!$C$9:$I$38,E$43,FALSE)*E$9</f>
        <v>29.83303867517084</v>
      </c>
      <c r="F14" s="120">
        <f>VLOOKUP($C14,'Current speeds'!$C$9:$I$38,F$43,FALSE)*F$9</f>
        <v>14.42419025192423</v>
      </c>
      <c r="G14" s="121">
        <f t="shared" si="5"/>
        <v>4.1814074304874813E-2</v>
      </c>
      <c r="H14" s="121">
        <f t="shared" si="6"/>
        <v>4.1899855177687219E-2</v>
      </c>
      <c r="I14" s="121">
        <f t="shared" si="4"/>
        <v>1.7331995462736581E-2</v>
      </c>
      <c r="J14" s="122">
        <f>SUM(G14:I14)+'Amended data'!$O$5+'Amended data'!$Q$5</f>
        <v>0.10290124901937271</v>
      </c>
      <c r="K14" s="62">
        <f t="shared" si="7"/>
        <v>5</v>
      </c>
      <c r="M14" s="126" t="b">
        <f>J14&gt;'Amended data'!M12</f>
        <v>1</v>
      </c>
      <c r="O14" s="157" t="str">
        <f t="shared" si="8"/>
        <v>Bike</v>
      </c>
      <c r="P14" s="201">
        <f t="shared" si="9"/>
        <v>4.1899855177687219E-2</v>
      </c>
      <c r="S14" s="195"/>
    </row>
    <row r="15" spans="1:19" x14ac:dyDescent="0.2">
      <c r="A15" s="75" t="str">
        <f>'Amended data'!K13</f>
        <v>Chris</v>
      </c>
      <c r="B15" s="76" t="str">
        <f>'Amended data'!L13</f>
        <v>Maunder</v>
      </c>
      <c r="C15" s="28" t="str">
        <f t="shared" si="3"/>
        <v>ChrisMaunder</v>
      </c>
      <c r="D15" s="120">
        <f>VLOOKUP($C15,'Current speeds'!$C$9:$I$38,D$43,FALSE)*D$9</f>
        <v>3.704408728893374</v>
      </c>
      <c r="E15" s="120">
        <f>VLOOKUP($C15,'Current speeds'!$C$9:$I$38,E$43,FALSE)*E$9</f>
        <v>28.18689181023603</v>
      </c>
      <c r="F15" s="120">
        <f>VLOOKUP($C15,'Current speeds'!$C$9:$I$38,F$43,FALSE)*F$9</f>
        <v>14.529561771621726</v>
      </c>
      <c r="G15" s="121">
        <f t="shared" si="5"/>
        <v>3.3743576680681647E-2</v>
      </c>
      <c r="H15" s="121">
        <f t="shared" si="6"/>
        <v>4.4346854857762796E-2</v>
      </c>
      <c r="I15" s="121">
        <f t="shared" si="4"/>
        <v>1.7206300088711903E-2</v>
      </c>
      <c r="J15" s="122">
        <f>SUM(G15:I15)+'Amended data'!$O$5+'Amended data'!$Q$5</f>
        <v>9.7152055701230436E-2</v>
      </c>
      <c r="K15" s="62">
        <f t="shared" si="7"/>
        <v>1</v>
      </c>
      <c r="M15" s="126" t="b">
        <f>J15&gt;'Amended data'!M13</f>
        <v>1</v>
      </c>
      <c r="O15" s="157" t="str">
        <f t="shared" si="8"/>
        <v>Bike</v>
      </c>
      <c r="P15" s="201">
        <f t="shared" si="9"/>
        <v>4.4346854857762796E-2</v>
      </c>
      <c r="S15" s="195"/>
    </row>
    <row r="16" spans="1:19" x14ac:dyDescent="0.2">
      <c r="A16" s="75" t="str">
        <f>'Amended data'!K14</f>
        <v>Conal</v>
      </c>
      <c r="B16" s="76" t="str">
        <f>'Amended data'!L14</f>
        <v>Newland</v>
      </c>
      <c r="C16" s="28" t="str">
        <f t="shared" si="3"/>
        <v>ConalNewland</v>
      </c>
      <c r="D16" s="120">
        <f>VLOOKUP($C16,'Current speeds'!$C$9:$I$38,D$43,FALSE)*D$9</f>
        <v>3.2352648602670753</v>
      </c>
      <c r="E16" s="120">
        <f>VLOOKUP($C16,'Current speeds'!$C$9:$I$38,E$43,FALSE)*E$9</f>
        <v>28.865779431418186</v>
      </c>
      <c r="F16" s="120">
        <f>VLOOKUP($C16,'Current speeds'!$C$9:$I$38,F$43,FALSE)*F$9</f>
        <v>14.377847471998367</v>
      </c>
      <c r="G16" s="121">
        <f t="shared" si="5"/>
        <v>3.863671303550742E-2</v>
      </c>
      <c r="H16" s="121">
        <f t="shared" si="6"/>
        <v>4.3303871387566653E-2</v>
      </c>
      <c r="I16" s="121">
        <f t="shared" si="4"/>
        <v>1.7387860073414221E-2</v>
      </c>
      <c r="J16" s="122">
        <f>SUM(G16:I16)+'Amended data'!$O$5+'Amended data'!$Q$5</f>
        <v>0.10118376857056238</v>
      </c>
      <c r="K16" s="62">
        <f t="shared" si="7"/>
        <v>4</v>
      </c>
      <c r="M16" s="126" t="b">
        <f>J16&gt;'Amended data'!M14</f>
        <v>1</v>
      </c>
      <c r="O16" s="157" t="str">
        <f t="shared" si="8"/>
        <v>Bike</v>
      </c>
      <c r="P16" s="201">
        <f t="shared" si="9"/>
        <v>4.3303871387566653E-2</v>
      </c>
      <c r="S16" s="195"/>
    </row>
    <row r="17" spans="1:19" x14ac:dyDescent="0.2">
      <c r="A17" s="75" t="str">
        <f>'Amended data'!K15</f>
        <v>Richard</v>
      </c>
      <c r="B17" s="76" t="str">
        <f>'Amended data'!L15</f>
        <v>Wilks</v>
      </c>
      <c r="C17" s="28" t="str">
        <f t="shared" si="3"/>
        <v>RichardWilks</v>
      </c>
      <c r="D17" s="120">
        <f>VLOOKUP($C17,'Current speeds'!$C$9:$I$38,D$43,FALSE)*D$9</f>
        <v>2.9624111973529836</v>
      </c>
      <c r="E17" s="120">
        <f>VLOOKUP($C17,'Current speeds'!$C$9:$I$38,E$43,FALSE)*E$9</f>
        <v>29.42455986422657</v>
      </c>
      <c r="F17" s="120">
        <f>VLOOKUP($C17,'Current speeds'!$C$9:$I$38,F$43,FALSE)*F$9</f>
        <v>14.083729427724601</v>
      </c>
      <c r="G17" s="121">
        <f t="shared" si="5"/>
        <v>4.2195357657198902E-2</v>
      </c>
      <c r="H17" s="121">
        <f t="shared" si="6"/>
        <v>4.248151903606584E-2</v>
      </c>
      <c r="I17" s="121">
        <f t="shared" si="4"/>
        <v>1.7750980042818852E-2</v>
      </c>
      <c r="J17" s="122">
        <f>SUM(G17:I17)+'Amended data'!$O$5+'Amended data'!$Q$5</f>
        <v>0.10428318081015768</v>
      </c>
      <c r="K17" s="62">
        <f t="shared" si="7"/>
        <v>9</v>
      </c>
      <c r="M17" s="126" t="b">
        <f>J17&gt;'Amended data'!M15</f>
        <v>1</v>
      </c>
      <c r="O17" s="157" t="str">
        <f t="shared" si="8"/>
        <v>Bike</v>
      </c>
      <c r="P17" s="201">
        <f t="shared" si="9"/>
        <v>4.248151903606584E-2</v>
      </c>
      <c r="S17" s="195"/>
    </row>
    <row r="18" spans="1:19" x14ac:dyDescent="0.2">
      <c r="A18" s="75" t="str">
        <f>'Amended data'!K16</f>
        <v>Tom</v>
      </c>
      <c r="B18" s="76" t="str">
        <f>'Amended data'!L16</f>
        <v>Newman</v>
      </c>
      <c r="C18" s="28" t="str">
        <f t="shared" si="3"/>
        <v>TomNewman</v>
      </c>
      <c r="D18" s="120">
        <f>VLOOKUP($C18,'Current speeds'!$C$9:$I$38,D$43,FALSE)*D$9</f>
        <v>2.7244335665406942</v>
      </c>
      <c r="E18" s="120">
        <f>VLOOKUP($C18,'Current speeds'!$C$9:$I$38,E$43,FALSE)*E$9</f>
        <v>29.494187313029741</v>
      </c>
      <c r="F18" s="120">
        <f>VLOOKUP($C18,'Current speeds'!$C$9:$I$38,F$43,FALSE)*F$9</f>
        <v>14.184168068651324</v>
      </c>
      <c r="G18" s="121">
        <f t="shared" si="5"/>
        <v>4.5881096729665068E-2</v>
      </c>
      <c r="H18" s="121">
        <f t="shared" si="6"/>
        <v>4.2381232163931623E-2</v>
      </c>
      <c r="I18" s="121">
        <f t="shared" si="4"/>
        <v>1.7625284668794171E-2</v>
      </c>
      <c r="J18" s="122">
        <f>SUM(G18:I18)+'Amended data'!$O$5+'Amended data'!$Q$5</f>
        <v>0.10774293763646496</v>
      </c>
      <c r="K18" s="62">
        <f t="shared" si="7"/>
        <v>14</v>
      </c>
      <c r="M18" s="126" t="b">
        <f>J18&gt;'Amended data'!M16</f>
        <v>1</v>
      </c>
      <c r="O18" s="157" t="str">
        <f t="shared" si="8"/>
        <v>Swim</v>
      </c>
      <c r="P18" s="201">
        <f t="shared" si="9"/>
        <v>4.5881096729665068E-2</v>
      </c>
      <c r="S18" s="195"/>
    </row>
    <row r="19" spans="1:19" x14ac:dyDescent="0.2">
      <c r="A19" s="75" t="str">
        <f>'Amended data'!K17</f>
        <v>Jason</v>
      </c>
      <c r="B19" s="76" t="str">
        <f>'Amended data'!L17</f>
        <v>Baggaley</v>
      </c>
      <c r="C19" s="28" t="str">
        <f t="shared" si="3"/>
        <v>JasonBaggaley</v>
      </c>
      <c r="D19" s="120">
        <f>VLOOKUP($C19,'Current speeds'!$C$9:$I$38,D$43,FALSE)*D$9</f>
        <v>3.0402488949650408</v>
      </c>
      <c r="E19" s="120">
        <f>VLOOKUP($C19,'Current speeds'!$C$9:$I$38,E$43,FALSE)*E$9</f>
        <v>29.081296216720428</v>
      </c>
      <c r="F19" s="120">
        <f>VLOOKUP($C19,'Current speeds'!$C$9:$I$38,F$43,FALSE)*F$9</f>
        <v>13.706294106154647</v>
      </c>
      <c r="G19" s="121">
        <f t="shared" si="5"/>
        <v>4.1115054825613985E-2</v>
      </c>
      <c r="H19" s="121">
        <f t="shared" si="6"/>
        <v>4.2982953396737064E-2</v>
      </c>
      <c r="I19" s="121">
        <f t="shared" si="4"/>
        <v>1.8239795386248168E-2</v>
      </c>
      <c r="J19" s="122">
        <f>SUM(G19:I19)+'Amended data'!$O$5+'Amended data'!$Q$5</f>
        <v>0.10419312768267332</v>
      </c>
      <c r="K19" s="62">
        <f t="shared" si="7"/>
        <v>7</v>
      </c>
      <c r="M19" s="126" t="b">
        <f>J19&gt;'Amended data'!M17</f>
        <v>1</v>
      </c>
      <c r="O19" s="157" t="str">
        <f t="shared" si="8"/>
        <v>Bike</v>
      </c>
      <c r="P19" s="201">
        <f t="shared" si="9"/>
        <v>4.2982953396737064E-2</v>
      </c>
      <c r="S19" s="195"/>
    </row>
    <row r="20" spans="1:19" x14ac:dyDescent="0.2">
      <c r="A20" s="75" t="str">
        <f>'Amended data'!K18</f>
        <v>James</v>
      </c>
      <c r="B20" s="76" t="str">
        <f>'Amended data'!L18</f>
        <v>Goymour</v>
      </c>
      <c r="C20" s="28" t="str">
        <f t="shared" si="3"/>
        <v>JamesGoymour</v>
      </c>
      <c r="D20" s="120">
        <f>VLOOKUP($C20,'Current speeds'!$C$9:$I$38,D$43,FALSE)*D$9</f>
        <v>2.5381174645708144</v>
      </c>
      <c r="E20" s="120">
        <f>VLOOKUP($C20,'Current speeds'!$C$9:$I$38,E$43,FALSE)*E$9</f>
        <v>28.732696077654147</v>
      </c>
      <c r="F20" s="120">
        <f>VLOOKUP($C20,'Current speeds'!$C$9:$I$38,F$43,FALSE)*F$9</f>
        <v>15.004543254516319</v>
      </c>
      <c r="G20" s="121">
        <f t="shared" si="5"/>
        <v>4.9249099675194502E-2</v>
      </c>
      <c r="H20" s="121">
        <f t="shared" si="6"/>
        <v>4.3504445131835157E-2</v>
      </c>
      <c r="I20" s="121">
        <f t="shared" si="4"/>
        <v>1.6661620134604951E-2</v>
      </c>
      <c r="J20" s="122">
        <f>SUM(G20:I20)+'Amended data'!$O$5+'Amended data'!$Q$5</f>
        <v>0.1112704890157087</v>
      </c>
      <c r="K20" s="62">
        <f t="shared" si="7"/>
        <v>24</v>
      </c>
      <c r="M20" s="126" t="b">
        <f>J20&gt;'Amended data'!M18</f>
        <v>1</v>
      </c>
      <c r="O20" s="157" t="str">
        <f t="shared" si="8"/>
        <v>Swim</v>
      </c>
      <c r="P20" s="201">
        <f t="shared" si="9"/>
        <v>4.9249099675194502E-2</v>
      </c>
      <c r="S20" s="195"/>
    </row>
    <row r="21" spans="1:19" x14ac:dyDescent="0.2">
      <c r="A21" s="75" t="str">
        <f>'Amended data'!K19</f>
        <v>Henry</v>
      </c>
      <c r="B21" s="76" t="str">
        <f>'Amended data'!L19</f>
        <v>Franklin</v>
      </c>
      <c r="C21" s="28" t="str">
        <f t="shared" si="3"/>
        <v>HenryFranklin</v>
      </c>
      <c r="D21" s="120">
        <f>VLOOKUP($C21,'Current speeds'!$C$9:$I$38,D$43,FALSE)*D$9</f>
        <v>2.8140787339662108</v>
      </c>
      <c r="E21" s="120">
        <f>VLOOKUP($C21,'Current speeds'!$C$9:$I$38,E$43,FALSE)*E$9</f>
        <v>33.255719206206969</v>
      </c>
      <c r="F21" s="120">
        <f>VLOOKUP($C21,'Current speeds'!$C$9:$I$38,F$43,FALSE)*F$9</f>
        <v>12.868741986080495</v>
      </c>
      <c r="G21" s="121">
        <f t="shared" si="5"/>
        <v>4.4419510545756068E-2</v>
      </c>
      <c r="H21" s="121">
        <f t="shared" si="6"/>
        <v>3.7587519675914734E-2</v>
      </c>
      <c r="I21" s="121">
        <f t="shared" si="4"/>
        <v>1.9426918363147933E-2</v>
      </c>
      <c r="J21" s="122">
        <f>SUM(G21:I21)+'Amended data'!$O$5+'Amended data'!$Q$5</f>
        <v>0.10328927265889282</v>
      </c>
      <c r="K21" s="62">
        <f t="shared" si="7"/>
        <v>6</v>
      </c>
      <c r="M21" s="126" t="b">
        <f>J21&gt;'Amended data'!M19</f>
        <v>1</v>
      </c>
      <c r="O21" s="157" t="str">
        <f t="shared" si="8"/>
        <v>Swim</v>
      </c>
      <c r="P21" s="201">
        <f t="shared" si="9"/>
        <v>4.4419510545756068E-2</v>
      </c>
      <c r="S21" s="195"/>
    </row>
    <row r="22" spans="1:19" x14ac:dyDescent="0.2">
      <c r="A22" s="75" t="str">
        <f>'Amended data'!K20</f>
        <v>Martin</v>
      </c>
      <c r="B22" s="76" t="str">
        <f>'Amended data'!L20</f>
        <v>Pitts</v>
      </c>
      <c r="C22" s="28" t="str">
        <f t="shared" si="3"/>
        <v>MartinPitts</v>
      </c>
      <c r="D22" s="120">
        <f>VLOOKUP($C22,'Current speeds'!$C$9:$I$38,D$43,FALSE)*D$9</f>
        <v>3.0496760233215214</v>
      </c>
      <c r="E22" s="120">
        <f>VLOOKUP($C22,'Current speeds'!$C$9:$I$38,E$43,FALSE)*E$9</f>
        <v>29.12206438898685</v>
      </c>
      <c r="F22" s="120">
        <f>VLOOKUP($C22,'Current speeds'!$C$9:$I$38,F$43,FALSE)*F$9</f>
        <v>13.200899780706466</v>
      </c>
      <c r="G22" s="121">
        <f t="shared" si="5"/>
        <v>4.0987960374839295E-2</v>
      </c>
      <c r="H22" s="121">
        <f t="shared" si="6"/>
        <v>4.2922781273456528E-2</v>
      </c>
      <c r="I22" s="121">
        <f t="shared" si="4"/>
        <v>1.893810301971862E-2</v>
      </c>
      <c r="J22" s="122">
        <f>SUM(G22:I22)+'Amended data'!$O$5+'Amended data'!$Q$5</f>
        <v>0.10470416874208853</v>
      </c>
      <c r="K22" s="62">
        <f t="shared" si="7"/>
        <v>10</v>
      </c>
      <c r="M22" s="126" t="b">
        <f>J22&gt;'Amended data'!M20</f>
        <v>1</v>
      </c>
      <c r="O22" s="157" t="str">
        <f t="shared" si="8"/>
        <v>Bike</v>
      </c>
      <c r="P22" s="201">
        <f t="shared" si="9"/>
        <v>4.2922781273456528E-2</v>
      </c>
      <c r="S22" s="195"/>
    </row>
    <row r="23" spans="1:19" x14ac:dyDescent="0.2">
      <c r="A23" s="75" t="str">
        <f>'Amended data'!K21</f>
        <v>Chris</v>
      </c>
      <c r="B23" s="76" t="str">
        <f>'Amended data'!L21</f>
        <v>Rees</v>
      </c>
      <c r="C23" s="28" t="str">
        <f t="shared" si="3"/>
        <v>ChrisRees</v>
      </c>
      <c r="D23" s="120">
        <f>VLOOKUP($C23,'Current speeds'!$C$9:$I$38,D$43,FALSE)*D$9</f>
        <v>2.557920721771628</v>
      </c>
      <c r="E23" s="120">
        <f>VLOOKUP($C23,'Current speeds'!$C$9:$I$38,E$43,FALSE)*E$9</f>
        <v>29.382940967671782</v>
      </c>
      <c r="F23" s="120">
        <f>VLOOKUP($C23,'Current speeds'!$C$9:$I$38,F$43,FALSE)*F$9</f>
        <v>13.887059815855679</v>
      </c>
      <c r="G23" s="121">
        <f t="shared" si="5"/>
        <v>4.8867816322870399E-2</v>
      </c>
      <c r="H23" s="121">
        <f t="shared" si="6"/>
        <v>4.2541691159346404E-2</v>
      </c>
      <c r="I23" s="121">
        <f t="shared" si="4"/>
        <v>1.8002370790868215E-2</v>
      </c>
      <c r="J23" s="122">
        <f>SUM(G23:I23)+'Amended data'!$O$5+'Amended data'!$Q$5</f>
        <v>0.1112672023471591</v>
      </c>
      <c r="K23" s="62">
        <f t="shared" si="7"/>
        <v>23</v>
      </c>
      <c r="M23" s="126" t="b">
        <f>J23&gt;'Amended data'!M21</f>
        <v>1</v>
      </c>
      <c r="O23" s="157" t="str">
        <f t="shared" si="8"/>
        <v>Swim</v>
      </c>
      <c r="P23" s="201">
        <f t="shared" si="9"/>
        <v>4.8867816322870399E-2</v>
      </c>
      <c r="S23" s="195"/>
    </row>
    <row r="24" spans="1:19" x14ac:dyDescent="0.2">
      <c r="A24" s="75" t="str">
        <f>'Amended data'!K22</f>
        <v>Melissa</v>
      </c>
      <c r="B24" s="76" t="str">
        <f>'Amended data'!L22</f>
        <v>Brand</v>
      </c>
      <c r="C24" s="28" t="str">
        <f t="shared" si="3"/>
        <v>MelissaBrand</v>
      </c>
      <c r="D24" s="120">
        <f>VLOOKUP($C24,'Current speeds'!$C$9:$I$38,D$43,FALSE)*D$9</f>
        <v>2.8262083836815828</v>
      </c>
      <c r="E24" s="120">
        <f>VLOOKUP($C24,'Current speeds'!$C$9:$I$38,E$43,FALSE)*E$9</f>
        <v>29.258787695977411</v>
      </c>
      <c r="F24" s="120">
        <f>VLOOKUP($C24,'Current speeds'!$C$9:$I$38,F$43,FALSE)*F$9</f>
        <v>13.066000074918225</v>
      </c>
      <c r="G24" s="121">
        <f t="shared" si="5"/>
        <v>4.4228868869594019E-2</v>
      </c>
      <c r="H24" s="121">
        <f t="shared" si="6"/>
        <v>4.2722207529188025E-2</v>
      </c>
      <c r="I24" s="121">
        <f t="shared" si="4"/>
        <v>1.9133629157090343E-2</v>
      </c>
      <c r="J24" s="122">
        <f>SUM(G24:I24)+'Amended data'!$O$5+'Amended data'!$Q$5</f>
        <v>0.10794002962994648</v>
      </c>
      <c r="K24" s="62">
        <f t="shared" si="7"/>
        <v>15</v>
      </c>
      <c r="M24" s="126" t="b">
        <f>J24&gt;'Amended data'!M22</f>
        <v>1</v>
      </c>
      <c r="O24" s="157" t="str">
        <f t="shared" si="8"/>
        <v>Swim</v>
      </c>
      <c r="P24" s="201">
        <f t="shared" si="9"/>
        <v>4.4228868869594019E-2</v>
      </c>
      <c r="S24" s="195"/>
    </row>
    <row r="25" spans="1:19" x14ac:dyDescent="0.2">
      <c r="A25" s="75" t="str">
        <f>'Amended data'!K23</f>
        <v>Richard</v>
      </c>
      <c r="B25" s="76" t="str">
        <f>'Amended data'!L23</f>
        <v>Bashford</v>
      </c>
      <c r="C25" s="28" t="str">
        <f t="shared" si="3"/>
        <v>RichardBashford</v>
      </c>
      <c r="D25" s="120">
        <f>VLOOKUP($C25,'Current speeds'!$C$9:$I$38,D$43,FALSE)*D$9</f>
        <v>2.6474307335698271</v>
      </c>
      <c r="E25" s="120">
        <f>VLOOKUP($C25,'Current speeds'!$C$9:$I$38,E$43,FALSE)*E$9</f>
        <v>28.18689181023603</v>
      </c>
      <c r="F25" s="120">
        <f>VLOOKUP($C25,'Current speeds'!$C$9:$I$38,F$43,FALSE)*F$9</f>
        <v>14.534889810408536</v>
      </c>
      <c r="G25" s="121">
        <f t="shared" si="5"/>
        <v>4.7215588462799371E-2</v>
      </c>
      <c r="H25" s="121">
        <f t="shared" si="6"/>
        <v>4.4346854857762796E-2</v>
      </c>
      <c r="I25" s="121">
        <f t="shared" si="4"/>
        <v>1.7199992793957973E-2</v>
      </c>
      <c r="J25" s="122">
        <f>SUM(G25:I25)+'Amended data'!$O$5+'Amended data'!$Q$5</f>
        <v>0.11061776018859422</v>
      </c>
      <c r="K25" s="62">
        <f t="shared" si="7"/>
        <v>20</v>
      </c>
      <c r="M25" s="126" t="b">
        <f>J25&gt;'Amended data'!M23</f>
        <v>1</v>
      </c>
      <c r="O25" s="157" t="str">
        <f t="shared" si="8"/>
        <v>Swim</v>
      </c>
      <c r="P25" s="201">
        <f t="shared" si="9"/>
        <v>4.7215588462799371E-2</v>
      </c>
      <c r="S25" s="195"/>
    </row>
    <row r="26" spans="1:19" x14ac:dyDescent="0.2">
      <c r="A26" s="75" t="str">
        <f>'Amended data'!K24</f>
        <v>Neil</v>
      </c>
      <c r="B26" s="76" t="str">
        <f>'Amended data'!L24</f>
        <v>Kerfoot</v>
      </c>
      <c r="C26" s="28" t="str">
        <f t="shared" si="3"/>
        <v>NeilKerfoot</v>
      </c>
      <c r="D26" s="120">
        <f>VLOOKUP($C26,'Current speeds'!$C$9:$I$38,D$43,FALSE)*D$9</f>
        <v>2.9894240654139534</v>
      </c>
      <c r="E26" s="120">
        <f>VLOOKUP($C26,'Current speeds'!$C$9:$I$38,E$43,FALSE)*E$9</f>
        <v>28.379425224240386</v>
      </c>
      <c r="F26" s="120">
        <f>VLOOKUP($C26,'Current speeds'!$C$9:$I$38,F$43,FALSE)*F$9</f>
        <v>13.269399631310575</v>
      </c>
      <c r="G26" s="121">
        <f t="shared" si="5"/>
        <v>4.1814074304874813E-2</v>
      </c>
      <c r="H26" s="121">
        <f t="shared" si="6"/>
        <v>4.4045994241360041E-2</v>
      </c>
      <c r="I26" s="121">
        <f t="shared" si="4"/>
        <v>1.8840339951032761E-2</v>
      </c>
      <c r="J26" s="122">
        <f>SUM(G26:I26)+'Amended data'!$O$5+'Amended data'!$Q$5</f>
        <v>0.1065557325713417</v>
      </c>
      <c r="K26" s="62">
        <f t="shared" si="7"/>
        <v>11</v>
      </c>
      <c r="M26" s="126" t="b">
        <f>J26&gt;'Amended data'!M24</f>
        <v>1</v>
      </c>
      <c r="O26" s="157" t="str">
        <f t="shared" si="8"/>
        <v>Bike</v>
      </c>
      <c r="P26" s="201">
        <f t="shared" si="9"/>
        <v>4.4045994241360041E-2</v>
      </c>
      <c r="S26" s="195"/>
    </row>
    <row r="27" spans="1:19" x14ac:dyDescent="0.2">
      <c r="A27" s="75" t="str">
        <f>'Amended data'!K25</f>
        <v>John</v>
      </c>
      <c r="B27" s="76" t="str">
        <f>'Amended data'!L25</f>
        <v>Williams</v>
      </c>
      <c r="C27" s="28" t="str">
        <f t="shared" si="3"/>
        <v>JohnWilliams</v>
      </c>
      <c r="D27" s="120">
        <f>VLOOKUP($C27,'Current speeds'!$C$9:$I$38,D$43,FALSE)*D$9</f>
        <v>3.2141193383045445</v>
      </c>
      <c r="E27" s="120">
        <f>VLOOKUP($C27,'Current speeds'!$C$9:$I$38,E$43,FALSE)*E$9</f>
        <v>27.167052219891847</v>
      </c>
      <c r="F27" s="120">
        <f>VLOOKUP($C27,'Current speeds'!$C$9:$I$38,F$43,FALSE)*F$9</f>
        <v>14.320336082110375</v>
      </c>
      <c r="G27" s="121">
        <f t="shared" si="5"/>
        <v>3.889090193705682E-2</v>
      </c>
      <c r="H27" s="121">
        <f t="shared" si="6"/>
        <v>4.6011616935191221E-2</v>
      </c>
      <c r="I27" s="121">
        <f t="shared" si="4"/>
        <v>1.7457690836761266E-2</v>
      </c>
      <c r="J27" s="122">
        <f>SUM(G27:I27)+'Amended data'!$O$5+'Amended data'!$Q$5</f>
        <v>0.10421553378308339</v>
      </c>
      <c r="K27" s="62">
        <f t="shared" si="7"/>
        <v>8</v>
      </c>
      <c r="M27" s="126" t="b">
        <f>J27&gt;'Amended data'!M25</f>
        <v>1</v>
      </c>
      <c r="O27" s="157" t="str">
        <f t="shared" si="8"/>
        <v>Bike</v>
      </c>
      <c r="P27" s="201">
        <f t="shared" si="9"/>
        <v>4.6011616935191221E-2</v>
      </c>
      <c r="S27" s="195"/>
    </row>
    <row r="28" spans="1:19" x14ac:dyDescent="0.2">
      <c r="A28" s="75" t="str">
        <f>'Amended data'!K26</f>
        <v>David</v>
      </c>
      <c r="B28" s="76" t="str">
        <f>'Amended data'!L26</f>
        <v>Hall</v>
      </c>
      <c r="C28" s="28" t="str">
        <f t="shared" si="3"/>
        <v>DavidHall</v>
      </c>
      <c r="D28" s="120">
        <f>VLOOKUP($C28,'Current speeds'!$C$9:$I$38,D$43,FALSE)*D$9</f>
        <v>2.9184585089649575</v>
      </c>
      <c r="E28" s="120">
        <f>VLOOKUP($C28,'Current speeds'!$C$9:$I$38,E$43,FALSE)*E$9</f>
        <v>27.959272226304105</v>
      </c>
      <c r="F28" s="120">
        <f>VLOOKUP($C28,'Current speeds'!$C$9:$I$38,F$43,FALSE)*F$9</f>
        <v>13.338614085423224</v>
      </c>
      <c r="G28" s="121">
        <f t="shared" si="5"/>
        <v>4.2830829911072378E-2</v>
      </c>
      <c r="H28" s="121">
        <f t="shared" si="6"/>
        <v>4.470788759744608E-2</v>
      </c>
      <c r="I28" s="121">
        <f t="shared" si="4"/>
        <v>1.8742576882346897E-2</v>
      </c>
      <c r="J28" s="122">
        <f>SUM(G28:I28)+'Amended data'!$O$5+'Amended data'!$Q$5</f>
        <v>0.10813661846493945</v>
      </c>
      <c r="K28" s="62">
        <f t="shared" si="7"/>
        <v>16</v>
      </c>
      <c r="M28" s="126" t="b">
        <f>J28&gt;'Amended data'!M26</f>
        <v>1</v>
      </c>
      <c r="O28" s="157" t="str">
        <f t="shared" si="8"/>
        <v>Bike</v>
      </c>
      <c r="P28" s="201">
        <f t="shared" si="9"/>
        <v>4.470788759744608E-2</v>
      </c>
      <c r="S28" s="195"/>
    </row>
    <row r="29" spans="1:19" x14ac:dyDescent="0.2">
      <c r="A29" s="75" t="str">
        <f>'Amended data'!K27</f>
        <v>Philip</v>
      </c>
      <c r="B29" s="76" t="str">
        <f>'Amended data'!L27</f>
        <v>Morton</v>
      </c>
      <c r="C29" s="28" t="str">
        <f t="shared" si="3"/>
        <v>PhilipMorton</v>
      </c>
      <c r="D29" s="120">
        <f>VLOOKUP($C29,'Current speeds'!$C$9:$I$38,D$43,FALSE)*D$9</f>
        <v>2.9939741781466993</v>
      </c>
      <c r="E29" s="120">
        <f>VLOOKUP($C29,'Current speeds'!$C$9:$I$38,E$43,FALSE)*E$9</f>
        <v>27.896695520336561</v>
      </c>
      <c r="F29" s="120">
        <f>VLOOKUP($C29,'Current speeds'!$C$9:$I$38,F$43,FALSE)*F$9</f>
        <v>13.398518040896683</v>
      </c>
      <c r="G29" s="121">
        <f t="shared" si="5"/>
        <v>4.1750527079487461E-2</v>
      </c>
      <c r="H29" s="121">
        <f t="shared" si="6"/>
        <v>4.4808174469580304E-2</v>
      </c>
      <c r="I29" s="121">
        <f t="shared" si="4"/>
        <v>1.865877996633044E-2</v>
      </c>
      <c r="J29" s="122">
        <f>SUM(G29:I29)+'Amended data'!$O$5+'Amended data'!$Q$5</f>
        <v>0.10707280558947228</v>
      </c>
      <c r="K29" s="62">
        <f t="shared" si="7"/>
        <v>13</v>
      </c>
      <c r="M29" s="126" t="b">
        <f>J29&gt;'Amended data'!M27</f>
        <v>1</v>
      </c>
      <c r="O29" s="157" t="str">
        <f t="shared" si="8"/>
        <v>Bike</v>
      </c>
      <c r="P29" s="201">
        <f t="shared" si="9"/>
        <v>4.4808174469580304E-2</v>
      </c>
      <c r="S29" s="195"/>
    </row>
    <row r="30" spans="1:19" x14ac:dyDescent="0.2">
      <c r="A30" s="75" t="str">
        <f>'Amended data'!K28</f>
        <v>Rowen</v>
      </c>
      <c r="B30" s="76" t="str">
        <f>'Amended data'!L28</f>
        <v>Grandison</v>
      </c>
      <c r="C30" s="28" t="str">
        <f t="shared" si="3"/>
        <v>RowenGrandison</v>
      </c>
      <c r="D30" s="120">
        <f>VLOOKUP($C30,'Current speeds'!$C$9:$I$38,D$43,FALSE)*D$9</f>
        <v>2.2846005052757041</v>
      </c>
      <c r="E30" s="120">
        <f>VLOOKUP($C30,'Current speeds'!$C$9:$I$38,E$43,FALSE)*E$9</f>
        <v>29.300055379610665</v>
      </c>
      <c r="F30" s="120">
        <f>VLOOKUP($C30,'Current speeds'!$C$9:$I$38,F$43,FALSE)*F$9</f>
        <v>13.952003197691322</v>
      </c>
      <c r="G30" s="121">
        <f t="shared" si="5"/>
        <v>5.4714161058506405E-2</v>
      </c>
      <c r="H30" s="121">
        <f t="shared" si="6"/>
        <v>4.2662035405907475E-2</v>
      </c>
      <c r="I30" s="121">
        <f t="shared" si="4"/>
        <v>1.7918573874851761E-2</v>
      </c>
      <c r="J30" s="122">
        <f>SUM(G30:I30)+'Amended data'!$O$5+'Amended data'!$Q$5</f>
        <v>0.11715009441333972</v>
      </c>
      <c r="K30" s="62">
        <f t="shared" si="7"/>
        <v>29</v>
      </c>
      <c r="M30" s="126" t="b">
        <f>J30&gt;'Amended data'!M28</f>
        <v>1</v>
      </c>
      <c r="O30" s="157" t="str">
        <f t="shared" si="8"/>
        <v>Swim</v>
      </c>
      <c r="P30" s="201">
        <f t="shared" si="9"/>
        <v>5.4714161058506405E-2</v>
      </c>
    </row>
    <row r="31" spans="1:19" x14ac:dyDescent="0.2">
      <c r="A31" s="75" t="str">
        <f>'Amended data'!K29</f>
        <v>Matt</v>
      </c>
      <c r="B31" s="76" t="str">
        <f>'Amended data'!L29</f>
        <v>Battensby</v>
      </c>
      <c r="C31" s="28" t="str">
        <f t="shared" si="3"/>
        <v>MattBattensby</v>
      </c>
      <c r="D31" s="120">
        <f>VLOOKUP($C31,'Current speeds'!$C$9:$I$38,D$43,FALSE)*D$9</f>
        <v>2.5250847689889366</v>
      </c>
      <c r="E31" s="120">
        <f>VLOOKUP($C31,'Current speeds'!$C$9:$I$38,E$43,FALSE)*E$9</f>
        <v>27.698319018858605</v>
      </c>
      <c r="F31" s="120">
        <f>VLOOKUP($C31,'Current speeds'!$C$9:$I$38,F$43,FALSE)*F$9</f>
        <v>14.954402759096048</v>
      </c>
      <c r="G31" s="121">
        <f t="shared" si="5"/>
        <v>4.9503288576743881E-2</v>
      </c>
      <c r="H31" s="121">
        <f t="shared" si="6"/>
        <v>4.51290924604099E-2</v>
      </c>
      <c r="I31" s="121">
        <f t="shared" si="4"/>
        <v>1.6717484745282587E-2</v>
      </c>
      <c r="J31" s="122">
        <f>SUM(G31:I31)+'Amended data'!$O$5+'Amended data'!$Q$5</f>
        <v>0.11320518985651046</v>
      </c>
      <c r="K31" s="62">
        <f t="shared" si="7"/>
        <v>27</v>
      </c>
      <c r="M31" s="126" t="b">
        <f>J31&gt;'Amended data'!M29</f>
        <v>1</v>
      </c>
      <c r="O31" s="157" t="str">
        <f t="shared" si="8"/>
        <v>Swim</v>
      </c>
      <c r="P31" s="201">
        <f t="shared" si="9"/>
        <v>4.9503288576743881E-2</v>
      </c>
    </row>
    <row r="32" spans="1:19" x14ac:dyDescent="0.2">
      <c r="A32" s="75" t="str">
        <f>'Amended data'!K30</f>
        <v>Robert</v>
      </c>
      <c r="B32" s="76" t="str">
        <f>'Amended data'!L30</f>
        <v>Grande</v>
      </c>
      <c r="C32" s="28" t="str">
        <f t="shared" si="3"/>
        <v>RobertGrande</v>
      </c>
      <c r="D32" s="120">
        <f>VLOOKUP($C32,'Current speeds'!$C$9:$I$38,D$43,FALSE)*D$9</f>
        <v>2.5153977430209484</v>
      </c>
      <c r="E32" s="120">
        <f>VLOOKUP($C32,'Current speeds'!$C$9:$I$38,E$43,FALSE)*E$9</f>
        <v>28.059980996142208</v>
      </c>
      <c r="F32" s="120">
        <f>VLOOKUP($C32,'Current speeds'!$C$9:$I$38,F$43,FALSE)*F$9</f>
        <v>13.489389677948733</v>
      </c>
      <c r="G32" s="121">
        <f t="shared" si="5"/>
        <v>4.9693930252905923E-2</v>
      </c>
      <c r="H32" s="121">
        <f t="shared" si="6"/>
        <v>4.4547428602031293E-2</v>
      </c>
      <c r="I32" s="121">
        <f t="shared" si="4"/>
        <v>1.8533084592305758E-2</v>
      </c>
      <c r="J32" s="122">
        <f>SUM(G32:I32)+'Amended data'!$O$5+'Amended data'!$Q$5</f>
        <v>0.11462976752131705</v>
      </c>
      <c r="K32" s="62">
        <f t="shared" si="7"/>
        <v>28</v>
      </c>
      <c r="M32" s="126" t="b">
        <f>J32&gt;'Amended data'!M30</f>
        <v>1</v>
      </c>
      <c r="O32" s="157" t="str">
        <f t="shared" si="8"/>
        <v>Swim</v>
      </c>
      <c r="P32" s="201">
        <f t="shared" si="9"/>
        <v>4.9693930252905923E-2</v>
      </c>
    </row>
    <row r="33" spans="1:16" x14ac:dyDescent="0.2">
      <c r="A33" s="75" t="str">
        <f>'Amended data'!K31</f>
        <v>John</v>
      </c>
      <c r="B33" s="76" t="str">
        <f>'Amended data'!L31</f>
        <v>Percy</v>
      </c>
      <c r="C33" s="28" t="str">
        <f t="shared" si="3"/>
        <v>JohnPercy</v>
      </c>
      <c r="D33" s="120">
        <f>VLOOKUP($C33,'Current speeds'!$C$9:$I$38,D$43,FALSE)*D$9</f>
        <v>2.6122722908929368</v>
      </c>
      <c r="E33" s="120">
        <f>VLOOKUP($C33,'Current speeds'!$C$9:$I$38,E$43,FALSE)*E$9</f>
        <v>29.108462303798163</v>
      </c>
      <c r="F33" s="120">
        <f>VLOOKUP($C33,'Current speeds'!$C$9:$I$38,F$43,FALSE)*F$9</f>
        <v>12.74958696769086</v>
      </c>
      <c r="G33" s="121">
        <f t="shared" si="5"/>
        <v>4.7851060716672847E-2</v>
      </c>
      <c r="H33" s="121">
        <f t="shared" si="6"/>
        <v>4.2942838647883369E-2</v>
      </c>
      <c r="I33" s="121">
        <f t="shared" si="4"/>
        <v>1.9608478347850254E-2</v>
      </c>
      <c r="J33" s="122">
        <f>SUM(G33:I33)+'Amended data'!$O$5+'Amended data'!$Q$5</f>
        <v>0.11225770178648055</v>
      </c>
      <c r="K33" s="62">
        <f t="shared" si="7"/>
        <v>26</v>
      </c>
      <c r="M33" s="126" t="b">
        <f>J33&gt;'Amended data'!M31</f>
        <v>1</v>
      </c>
      <c r="O33" s="157" t="str">
        <f t="shared" si="8"/>
        <v>Swim</v>
      </c>
      <c r="P33" s="201">
        <f t="shared" si="9"/>
        <v>4.7851060716672847E-2</v>
      </c>
    </row>
    <row r="34" spans="1:16" x14ac:dyDescent="0.2">
      <c r="A34" s="75" t="str">
        <f>'Amended data'!K32</f>
        <v>John</v>
      </c>
      <c r="B34" s="76" t="str">
        <f>'Amended data'!L32</f>
        <v>Whateley</v>
      </c>
      <c r="C34" s="28" t="str">
        <f t="shared" si="3"/>
        <v>JohnWhateley</v>
      </c>
      <c r="D34" s="120">
        <f>VLOOKUP($C34,'Current speeds'!$C$9:$I$38,D$43,FALSE)*D$9</f>
        <v>2.8549216764040373</v>
      </c>
      <c r="E34" s="120">
        <f>VLOOKUP($C34,'Current speeds'!$C$9:$I$38,E$43,FALSE)*E$9</f>
        <v>27.357865580523207</v>
      </c>
      <c r="F34" s="120">
        <f>VLOOKUP($C34,'Current speeds'!$C$9:$I$38,F$43,FALSE)*F$9</f>
        <v>13.191171777920388</v>
      </c>
      <c r="G34" s="121">
        <f t="shared" si="5"/>
        <v>4.3784038291882585E-2</v>
      </c>
      <c r="H34" s="121">
        <f t="shared" si="6"/>
        <v>4.5690698944361667E-2</v>
      </c>
      <c r="I34" s="121">
        <f t="shared" si="4"/>
        <v>1.8952069172388029E-2</v>
      </c>
      <c r="J34" s="122">
        <f>SUM(G34:I34)+'Amended data'!$O$5+'Amended data'!$Q$5</f>
        <v>0.11028213048270637</v>
      </c>
      <c r="K34" s="62">
        <f t="shared" si="7"/>
        <v>19</v>
      </c>
      <c r="M34" s="126" t="b">
        <f>J34&gt;'Amended data'!M32</f>
        <v>1</v>
      </c>
      <c r="O34" s="157" t="str">
        <f t="shared" si="8"/>
        <v>Bike</v>
      </c>
      <c r="P34" s="201">
        <f t="shared" si="9"/>
        <v>4.5690698944361667E-2</v>
      </c>
    </row>
    <row r="35" spans="1:16" x14ac:dyDescent="0.2">
      <c r="A35" s="75" t="str">
        <f>'Amended data'!K33</f>
        <v>Tom</v>
      </c>
      <c r="B35" s="76" t="str">
        <f>'Amended data'!L33</f>
        <v>Dailey</v>
      </c>
      <c r="C35" s="28" t="str">
        <f t="shared" si="3"/>
        <v>TomDailey</v>
      </c>
      <c r="D35" s="120">
        <f>VLOOKUP($C35,'Current speeds'!$C$9:$I$38,D$43,FALSE)*D$9</f>
        <v>2.9848877618245546</v>
      </c>
      <c r="E35" s="120">
        <f>VLOOKUP($C35,'Current speeds'!$C$9:$I$38,E$43,FALSE)*E$9</f>
        <v>26.874177573278093</v>
      </c>
      <c r="F35" s="120">
        <f>VLOOKUP($C35,'Current speeds'!$C$9:$I$38,F$43,FALSE)*F$9</f>
        <v>13.104260690071719</v>
      </c>
      <c r="G35" s="121">
        <f t="shared" si="5"/>
        <v>4.1877621530262157E-2</v>
      </c>
      <c r="H35" s="121">
        <f t="shared" si="6"/>
        <v>4.6513051295862438E-2</v>
      </c>
      <c r="I35" s="121">
        <f t="shared" si="4"/>
        <v>1.9077764546412707E-2</v>
      </c>
      <c r="J35" s="122">
        <f>SUM(G35:I35)+'Amended data'!$O$5+'Amended data'!$Q$5</f>
        <v>0.10932376144661138</v>
      </c>
      <c r="K35" s="62">
        <f t="shared" si="7"/>
        <v>17</v>
      </c>
      <c r="M35" s="126" t="b">
        <f>J35&gt;'Amended data'!M33</f>
        <v>1</v>
      </c>
      <c r="O35" s="157" t="str">
        <f t="shared" si="8"/>
        <v>Bike</v>
      </c>
      <c r="P35" s="201">
        <f t="shared" si="9"/>
        <v>4.6513051295862438E-2</v>
      </c>
    </row>
    <row r="36" spans="1:16" x14ac:dyDescent="0.2">
      <c r="A36" s="75" t="str">
        <f>'Amended data'!K34</f>
        <v>Daniel</v>
      </c>
      <c r="B36" s="76" t="str">
        <f>'Amended data'!L34</f>
        <v>Bent</v>
      </c>
      <c r="C36" s="28" t="str">
        <f t="shared" si="3"/>
        <v>DanielBent</v>
      </c>
      <c r="D36" s="120">
        <f>VLOOKUP($C36,'Current speeds'!$C$9:$I$38,D$43,FALSE)*D$9</f>
        <v>2.2201366083999794</v>
      </c>
      <c r="E36" s="120">
        <f>VLOOKUP($C36,'Current speeds'!$C$9:$I$38,E$43,FALSE)*E$9</f>
        <v>28.905945172742072</v>
      </c>
      <c r="F36" s="120">
        <f>VLOOKUP($C36,'Current speeds'!$C$9:$I$38,F$43,FALSE)*F$9</f>
        <v>14.139352371751949</v>
      </c>
      <c r="G36" s="121">
        <f t="shared" si="5"/>
        <v>5.6302841693190088E-2</v>
      </c>
      <c r="H36" s="121">
        <f t="shared" si="6"/>
        <v>4.3243699264286069E-2</v>
      </c>
      <c r="I36" s="121">
        <f t="shared" si="4"/>
        <v>1.768114927947181E-2</v>
      </c>
      <c r="J36" s="122">
        <f>SUM(G36:I36)+'Amended data'!$O$5+'Amended data'!$Q$5</f>
        <v>0.11908301431102206</v>
      </c>
      <c r="K36" s="62">
        <f t="shared" si="7"/>
        <v>30</v>
      </c>
      <c r="M36" s="126" t="b">
        <f>J36&gt;'Amended data'!M34</f>
        <v>1</v>
      </c>
      <c r="O36" s="157" t="str">
        <f t="shared" si="8"/>
        <v>Swim</v>
      </c>
      <c r="P36" s="201">
        <f t="shared" si="9"/>
        <v>5.6302841693190088E-2</v>
      </c>
    </row>
    <row r="37" spans="1:16" x14ac:dyDescent="0.2">
      <c r="A37" s="75" t="str">
        <f>'Amended data'!K35</f>
        <v>Andrew</v>
      </c>
      <c r="B37" s="76" t="str">
        <f>'Amended data'!L35</f>
        <v>Coe</v>
      </c>
      <c r="C37" s="28" t="str">
        <f t="shared" si="3"/>
        <v>AndrewCoe</v>
      </c>
      <c r="D37" s="120">
        <f>VLOOKUP($C37,'Current speeds'!$C$9:$I$38,D$43,FALSE)*D$9</f>
        <v>2.6438723589279323</v>
      </c>
      <c r="E37" s="120">
        <f>VLOOKUP($C37,'Current speeds'!$C$9:$I$38,E$43,FALSE)*E$9</f>
        <v>29.176600090089838</v>
      </c>
      <c r="F37" s="120">
        <f>VLOOKUP($C37,'Current speeds'!$C$9:$I$38,F$43,FALSE)*F$9</f>
        <v>12.535308195124628</v>
      </c>
      <c r="G37" s="121">
        <f t="shared" si="5"/>
        <v>4.7279135688186709E-2</v>
      </c>
      <c r="H37" s="121">
        <f t="shared" si="6"/>
        <v>4.284255177574911E-2</v>
      </c>
      <c r="I37" s="121">
        <f t="shared" si="4"/>
        <v>1.9943666011916068E-2</v>
      </c>
      <c r="J37" s="122">
        <f>SUM(G37:I37)+'Amended data'!$O$5+'Amended data'!$Q$5</f>
        <v>0.11192067754992596</v>
      </c>
      <c r="K37" s="62">
        <f t="shared" si="7"/>
        <v>25</v>
      </c>
      <c r="M37" s="126" t="b">
        <f>J37&gt;'Amended data'!M35</f>
        <v>1</v>
      </c>
      <c r="O37" s="157" t="str">
        <f t="shared" si="8"/>
        <v>Swim</v>
      </c>
      <c r="P37" s="201">
        <f t="shared" si="9"/>
        <v>4.7279135688186709E-2</v>
      </c>
    </row>
    <row r="38" spans="1:16" x14ac:dyDescent="0.2">
      <c r="A38" s="75" t="str">
        <f>'Amended data'!K36</f>
        <v>Rory</v>
      </c>
      <c r="B38" s="76" t="str">
        <f>'Amended data'!L36</f>
        <v>Taylor</v>
      </c>
      <c r="C38" s="28" t="str">
        <f t="shared" si="3"/>
        <v>RoryTaylor</v>
      </c>
      <c r="D38" s="120">
        <f>VLOOKUP($C38,'Current speeds'!$C$9:$I$38,D$43,FALSE)*D$9</f>
        <v>2.9446722081472774</v>
      </c>
      <c r="E38" s="120">
        <f>VLOOKUP($C38,'Current speeds'!$C$9:$I$38,E$43,FALSE)*E$9</f>
        <v>27.072640222602892</v>
      </c>
      <c r="F38" s="120">
        <f>VLOOKUP($C38,'Current speeds'!$C$9:$I$38,F$43,FALSE)*F$9</f>
        <v>13.16207360488086</v>
      </c>
      <c r="G38" s="121">
        <f t="shared" si="5"/>
        <v>4.2449546558748295E-2</v>
      </c>
      <c r="H38" s="121">
        <f t="shared" si="6"/>
        <v>4.6172075930606044E-2</v>
      </c>
      <c r="I38" s="121">
        <f t="shared" si="4"/>
        <v>1.8993967630396253E-2</v>
      </c>
      <c r="J38" s="122">
        <f>SUM(G38:I38)+'Amended data'!$O$5+'Amended data'!$Q$5</f>
        <v>0.10947091419382468</v>
      </c>
      <c r="K38" s="62">
        <f t="shared" si="7"/>
        <v>18</v>
      </c>
      <c r="M38" s="126" t="b">
        <f>J38&gt;'Amended data'!M36</f>
        <v>1</v>
      </c>
      <c r="O38" s="157" t="str">
        <f t="shared" si="8"/>
        <v>Bike</v>
      </c>
      <c r="P38" s="201">
        <f t="shared" si="9"/>
        <v>4.6172075930606044E-2</v>
      </c>
    </row>
    <row r="39" spans="1:16" x14ac:dyDescent="0.2">
      <c r="A39" s="75" t="str">
        <f>'Amended data'!K37</f>
        <v>Robert</v>
      </c>
      <c r="B39" s="76" t="str">
        <f>'Amended data'!L37</f>
        <v>Wilkinson</v>
      </c>
      <c r="C39" s="28" t="str">
        <f t="shared" si="3"/>
        <v>RobertWilkinson</v>
      </c>
      <c r="D39" s="120">
        <f>VLOOKUP($C39,'Current speeds'!$C$9:$I$38,D$43,FALSE)*D$9</f>
        <v>2.8181103653902313</v>
      </c>
      <c r="E39" s="120">
        <f>VLOOKUP($C39,'Current speeds'!$C$9:$I$38,E$43,FALSE)*E$9</f>
        <v>27.859283769526982</v>
      </c>
      <c r="F39" s="120">
        <f>VLOOKUP($C39,'Current speeds'!$C$9:$I$38,F$43,FALSE)*F$9</f>
        <v>12.767774680911531</v>
      </c>
      <c r="G39" s="121">
        <f t="shared" si="5"/>
        <v>4.4355963320368723E-2</v>
      </c>
      <c r="H39" s="121">
        <f t="shared" si="6"/>
        <v>4.4868346592860861E-2</v>
      </c>
      <c r="I39" s="121">
        <f t="shared" si="4"/>
        <v>1.9580546042511436E-2</v>
      </c>
      <c r="J39" s="122">
        <f>SUM(G39:I39)+'Amended data'!$O$5+'Amended data'!$Q$5</f>
        <v>0.11066018002981511</v>
      </c>
      <c r="K39" s="62">
        <f t="shared" si="7"/>
        <v>21</v>
      </c>
      <c r="M39" s="126" t="b">
        <f>J39&gt;'Amended data'!M37</f>
        <v>1</v>
      </c>
      <c r="O39" s="157" t="str">
        <f t="shared" si="8"/>
        <v>Bike</v>
      </c>
      <c r="P39" s="201">
        <f t="shared" si="9"/>
        <v>4.4868346592860861E-2</v>
      </c>
    </row>
    <row r="40" spans="1:16" x14ac:dyDescent="0.2">
      <c r="A40" s="75" t="str">
        <f>'Amended data'!K38</f>
        <v>Alexandra</v>
      </c>
      <c r="B40" s="76" t="str">
        <f>'Amended data'!L38</f>
        <v>Houghton</v>
      </c>
      <c r="C40" s="28" t="str">
        <f t="shared" si="3"/>
        <v>AlexandraHoughton</v>
      </c>
      <c r="D40" s="120">
        <f>VLOOKUP($C40,'Current speeds'!$C$9:$I$38,D$43,FALSE)*D$9</f>
        <v>3.1726468307135183</v>
      </c>
      <c r="E40" s="120">
        <f>VLOOKUP($C40,'Current speeds'!$C$9:$I$38,E$43,FALSE)*E$9</f>
        <v>28.959673695367975</v>
      </c>
      <c r="F40" s="120">
        <f>VLOOKUP($C40,'Current speeds'!$C$9:$I$38,F$43,FALSE)*F$9</f>
        <v>11.049642038665413</v>
      </c>
      <c r="G40" s="121">
        <f t="shared" si="5"/>
        <v>3.9399279740155606E-2</v>
      </c>
      <c r="H40" s="121">
        <f t="shared" si="6"/>
        <v>4.3163469766578692E-2</v>
      </c>
      <c r="I40" s="121">
        <f t="shared" si="4"/>
        <v>2.2625167324442599E-2</v>
      </c>
      <c r="J40" s="122">
        <f>SUM(G40:I40)+'Amended data'!$O$5+'Amended data'!$Q$5</f>
        <v>0.10704324090525098</v>
      </c>
      <c r="K40" s="62">
        <f t="shared" si="7"/>
        <v>12</v>
      </c>
      <c r="M40" s="126" t="b">
        <f>J40&gt;'Amended data'!M38</f>
        <v>1</v>
      </c>
      <c r="O40" s="157" t="str">
        <f t="shared" si="8"/>
        <v>Bike</v>
      </c>
      <c r="P40" s="201">
        <f t="shared" si="9"/>
        <v>4.3163469766578692E-2</v>
      </c>
    </row>
    <row r="41" spans="1:16" ht="13.5" thickBot="1" x14ac:dyDescent="0.25">
      <c r="A41" s="81" t="str">
        <f>'Amended data'!K39</f>
        <v>Scott</v>
      </c>
      <c r="B41" s="82" t="str">
        <f>'Amended data'!L39</f>
        <v>Pryde</v>
      </c>
      <c r="C41" s="30" t="str">
        <f t="shared" si="3"/>
        <v>ScottPryde</v>
      </c>
      <c r="D41" s="123">
        <f>VLOOKUP($C41,'Current speeds'!$C$9:$I$38,D$43,FALSE)*D$9</f>
        <v>2.9012404646642791</v>
      </c>
      <c r="E41" s="123">
        <f>VLOOKUP($C41,'Current speeds'!$C$9:$I$38,E$43,FALSE)*E$9</f>
        <v>25.625500737019689</v>
      </c>
      <c r="F41" s="123">
        <f>VLOOKUP($C41,'Current speeds'!$C$9:$I$38,F$43,FALSE)*F$9</f>
        <v>14.732856051553883</v>
      </c>
      <c r="G41" s="124">
        <f t="shared" si="5"/>
        <v>4.3085018812621771E-2</v>
      </c>
      <c r="H41" s="124">
        <f t="shared" si="6"/>
        <v>4.8779534606096374E-2</v>
      </c>
      <c r="I41" s="124">
        <f t="shared" si="4"/>
        <v>1.696887549333195E-2</v>
      </c>
      <c r="J41" s="125">
        <f>SUM(G41:I41)+'Amended data'!$O$5+'Amended data'!$Q$5</f>
        <v>0.11068875298612418</v>
      </c>
      <c r="K41" s="63">
        <f t="shared" si="7"/>
        <v>22</v>
      </c>
      <c r="M41" s="127" t="b">
        <f>J41&gt;'Amended data'!M39</f>
        <v>1</v>
      </c>
      <c r="O41" s="158" t="str">
        <f t="shared" si="8"/>
        <v>Bike</v>
      </c>
      <c r="P41" s="202">
        <f t="shared" si="9"/>
        <v>4.8779534606096374E-2</v>
      </c>
    </row>
    <row r="42" spans="1:16" x14ac:dyDescent="0.2">
      <c r="D42" s="5"/>
      <c r="E42" s="5"/>
      <c r="F42" s="5"/>
      <c r="G42" s="7"/>
      <c r="H42" s="7"/>
      <c r="I42" s="7"/>
      <c r="J42" s="6"/>
      <c r="K42" s="18"/>
    </row>
    <row r="43" spans="1:16" x14ac:dyDescent="0.2">
      <c r="C43" s="161" t="s">
        <v>131</v>
      </c>
      <c r="D43" s="162">
        <v>3</v>
      </c>
      <c r="E43" s="162">
        <v>5</v>
      </c>
      <c r="F43" s="162">
        <v>7</v>
      </c>
      <c r="G43" s="121"/>
      <c r="H43" s="7"/>
      <c r="I43" s="7"/>
      <c r="J43" s="6"/>
      <c r="K43" s="18"/>
    </row>
    <row r="44" spans="1:16" x14ac:dyDescent="0.2">
      <c r="D44" s="5"/>
      <c r="E44" s="5"/>
      <c r="F44" s="5"/>
      <c r="G44" s="7"/>
      <c r="H44" s="7"/>
      <c r="I44" s="7"/>
      <c r="J44" s="6"/>
      <c r="K44" s="18"/>
    </row>
    <row r="45" spans="1:16" x14ac:dyDescent="0.2">
      <c r="D45" s="5"/>
      <c r="E45" s="5"/>
      <c r="F45" s="5"/>
      <c r="G45" s="7"/>
      <c r="H45" s="7"/>
      <c r="I45" s="7"/>
      <c r="J45" s="6"/>
      <c r="K45" s="18"/>
    </row>
    <row r="46" spans="1:16" x14ac:dyDescent="0.2">
      <c r="D46" s="5"/>
      <c r="E46" s="5"/>
      <c r="F46" s="5"/>
      <c r="G46" s="7"/>
      <c r="H46" s="7"/>
      <c r="I46" s="7"/>
      <c r="J46" s="6"/>
      <c r="K46" s="18"/>
    </row>
    <row r="47" spans="1:16" x14ac:dyDescent="0.2">
      <c r="D47" s="5"/>
      <c r="E47" s="5"/>
      <c r="F47" s="5"/>
      <c r="G47" s="7"/>
      <c r="H47" s="7"/>
      <c r="I47" s="7"/>
      <c r="J47" s="6"/>
      <c r="K47" s="18"/>
    </row>
    <row r="48" spans="1:16" x14ac:dyDescent="0.2">
      <c r="D48" s="5"/>
      <c r="E48" s="5"/>
      <c r="F48" s="5"/>
      <c r="G48" s="7"/>
      <c r="H48" s="7"/>
      <c r="I48" s="7"/>
      <c r="J48" s="6"/>
      <c r="K48" s="18"/>
    </row>
    <row r="49" spans="4:11" x14ac:dyDescent="0.2">
      <c r="D49" s="5"/>
      <c r="E49" s="5"/>
      <c r="F49" s="5"/>
      <c r="G49" s="7"/>
      <c r="H49" s="7"/>
      <c r="I49" s="7"/>
      <c r="J49" s="6"/>
      <c r="K49" s="18"/>
    </row>
    <row r="50" spans="4:11" x14ac:dyDescent="0.2">
      <c r="D50" s="5"/>
      <c r="E50" s="5"/>
      <c r="F50" s="5"/>
      <c r="G50" s="7"/>
      <c r="H50" s="7"/>
      <c r="I50" s="7"/>
      <c r="J50" s="6"/>
      <c r="K50" s="18"/>
    </row>
    <row r="51" spans="4:11" x14ac:dyDescent="0.2">
      <c r="D51" s="5"/>
      <c r="E51" s="5"/>
      <c r="F51" s="5"/>
      <c r="G51" s="7"/>
      <c r="H51" s="7"/>
      <c r="I51" s="7"/>
      <c r="J51" s="6"/>
      <c r="K51" s="18"/>
    </row>
    <row r="52" spans="4:11" x14ac:dyDescent="0.2">
      <c r="D52" s="5"/>
      <c r="E52" s="5"/>
      <c r="F52" s="5"/>
      <c r="G52" s="7"/>
      <c r="H52" s="7"/>
      <c r="I52" s="7"/>
      <c r="J52" s="6"/>
      <c r="K52" s="18"/>
    </row>
    <row r="53" spans="4:11" x14ac:dyDescent="0.2">
      <c r="D53" s="5"/>
      <c r="E53" s="5"/>
      <c r="F53" s="5"/>
      <c r="G53" s="7"/>
      <c r="H53" s="7"/>
      <c r="I53" s="7"/>
      <c r="J53" s="6"/>
      <c r="K53" s="18"/>
    </row>
    <row r="54" spans="4:11" x14ac:dyDescent="0.2">
      <c r="D54" s="5"/>
      <c r="E54" s="5"/>
      <c r="F54" s="5"/>
      <c r="G54" s="7"/>
      <c r="H54" s="7"/>
      <c r="I54" s="7"/>
      <c r="J54" s="6"/>
      <c r="K54" s="18"/>
    </row>
    <row r="55" spans="4:11" x14ac:dyDescent="0.2">
      <c r="D55" s="5"/>
      <c r="E55" s="5"/>
      <c r="F55" s="5"/>
      <c r="G55" s="7"/>
      <c r="H55" s="7"/>
      <c r="I55" s="7"/>
      <c r="J55" s="6"/>
      <c r="K55" s="18"/>
    </row>
    <row r="56" spans="4:11" x14ac:dyDescent="0.2">
      <c r="D56" s="5"/>
      <c r="E56" s="5"/>
      <c r="F56" s="5"/>
      <c r="G56" s="7"/>
      <c r="H56" s="7"/>
      <c r="I56" s="7"/>
      <c r="J56" s="6"/>
      <c r="K56" s="18"/>
    </row>
    <row r="57" spans="4:11" x14ac:dyDescent="0.2">
      <c r="D57" s="5"/>
      <c r="E57" s="5"/>
      <c r="F57" s="5"/>
      <c r="G57" s="7"/>
      <c r="H57" s="7"/>
      <c r="I57" s="7"/>
      <c r="J57" s="6"/>
      <c r="K57" s="18"/>
    </row>
    <row r="58" spans="4:11" x14ac:dyDescent="0.2">
      <c r="D58" s="5"/>
      <c r="E58" s="5"/>
      <c r="F58" s="5"/>
      <c r="G58" s="7"/>
      <c r="H58" s="7"/>
      <c r="I58" s="7"/>
      <c r="J58" s="6"/>
      <c r="K58" s="18"/>
    </row>
    <row r="59" spans="4:11" x14ac:dyDescent="0.2">
      <c r="D59" s="5"/>
      <c r="E59" s="5"/>
      <c r="F59" s="5"/>
      <c r="G59" s="7"/>
      <c r="H59" s="7"/>
      <c r="I59" s="7"/>
      <c r="J59" s="6"/>
      <c r="K59" s="18"/>
    </row>
    <row r="60" spans="4:11" x14ac:dyDescent="0.2">
      <c r="D60" s="5"/>
      <c r="E60" s="5"/>
      <c r="F60" s="5"/>
      <c r="G60" s="7"/>
      <c r="H60" s="7"/>
      <c r="I60" s="7"/>
      <c r="J60" s="6"/>
      <c r="K60" s="18"/>
    </row>
    <row r="61" spans="4:11" x14ac:dyDescent="0.2">
      <c r="D61" s="5"/>
      <c r="E61" s="5"/>
      <c r="F61" s="5"/>
      <c r="G61" s="7"/>
      <c r="H61" s="7"/>
      <c r="I61" s="7"/>
      <c r="J61" s="6"/>
      <c r="K61" s="18"/>
    </row>
    <row r="62" spans="4:11" x14ac:dyDescent="0.2">
      <c r="D62" s="5"/>
      <c r="E62" s="5"/>
      <c r="F62" s="5"/>
      <c r="G62" s="7"/>
      <c r="H62" s="7"/>
      <c r="I62" s="7"/>
      <c r="J62" s="6"/>
      <c r="K62" s="18"/>
    </row>
    <row r="63" spans="4:11" x14ac:dyDescent="0.2">
      <c r="D63" s="5"/>
      <c r="E63" s="5"/>
      <c r="F63" s="5"/>
      <c r="G63" s="7"/>
      <c r="H63" s="7"/>
      <c r="I63" s="7"/>
      <c r="J63" s="6"/>
      <c r="K63" s="18"/>
    </row>
    <row r="64" spans="4:11" x14ac:dyDescent="0.2">
      <c r="D64" s="5"/>
      <c r="E64" s="5"/>
      <c r="F64" s="5"/>
      <c r="G64" s="7"/>
      <c r="H64" s="7"/>
      <c r="I64" s="7"/>
      <c r="J64" s="6"/>
      <c r="K64" s="18"/>
    </row>
    <row r="65" spans="4:11" x14ac:dyDescent="0.2">
      <c r="D65" s="5"/>
      <c r="E65" s="5"/>
      <c r="F65" s="5"/>
      <c r="G65" s="7"/>
      <c r="H65" s="7"/>
      <c r="I65" s="7"/>
      <c r="J65" s="6"/>
      <c r="K65" s="18"/>
    </row>
    <row r="66" spans="4:11" x14ac:dyDescent="0.2">
      <c r="D66" s="5"/>
      <c r="E66" s="5"/>
      <c r="F66" s="5"/>
      <c r="G66" s="7"/>
      <c r="H66" s="7"/>
      <c r="I66" s="7"/>
      <c r="J66" s="6"/>
      <c r="K66" s="18"/>
    </row>
    <row r="67" spans="4:11" x14ac:dyDescent="0.2">
      <c r="D67" s="5"/>
      <c r="E67" s="5"/>
      <c r="F67" s="5"/>
      <c r="G67" s="7"/>
      <c r="H67" s="7"/>
      <c r="I67" s="7"/>
      <c r="J67" s="6"/>
      <c r="K67" s="18"/>
    </row>
    <row r="68" spans="4:11" x14ac:dyDescent="0.2">
      <c r="D68" s="5"/>
      <c r="E68" s="5"/>
      <c r="F68" s="5"/>
      <c r="G68" s="7"/>
      <c r="H68" s="7"/>
      <c r="I68" s="7"/>
      <c r="J68" s="6"/>
      <c r="K68" s="18"/>
    </row>
    <row r="69" spans="4:11" x14ac:dyDescent="0.2">
      <c r="D69" s="5"/>
      <c r="E69" s="5"/>
      <c r="F69" s="5"/>
      <c r="G69" s="7"/>
      <c r="H69" s="7"/>
      <c r="I69" s="7"/>
      <c r="J69" s="6"/>
      <c r="K69" s="18"/>
    </row>
    <row r="70" spans="4:11" x14ac:dyDescent="0.2">
      <c r="D70" s="5"/>
      <c r="E70" s="5"/>
      <c r="F70" s="5"/>
      <c r="G70" s="7"/>
      <c r="H70" s="7"/>
      <c r="I70" s="7"/>
      <c r="J70" s="6"/>
      <c r="K70" s="18"/>
    </row>
    <row r="71" spans="4:11" x14ac:dyDescent="0.2">
      <c r="D71" s="5"/>
      <c r="E71" s="5"/>
      <c r="F71" s="5"/>
      <c r="G71" s="7"/>
      <c r="H71" s="7"/>
      <c r="I71" s="7"/>
      <c r="J71" s="6"/>
      <c r="K71" s="18"/>
    </row>
    <row r="72" spans="4:11" x14ac:dyDescent="0.2">
      <c r="D72" s="5"/>
      <c r="E72" s="5"/>
      <c r="F72" s="5"/>
      <c r="G72" s="7"/>
      <c r="H72" s="7"/>
      <c r="I72" s="7"/>
      <c r="J72" s="6"/>
      <c r="K72" s="18"/>
    </row>
    <row r="73" spans="4:11" x14ac:dyDescent="0.2">
      <c r="D73" s="5"/>
      <c r="E73" s="5"/>
      <c r="F73" s="5"/>
      <c r="G73" s="7"/>
      <c r="H73" s="7"/>
      <c r="I73" s="7"/>
      <c r="J73" s="6"/>
      <c r="K73" s="18"/>
    </row>
    <row r="74" spans="4:11" x14ac:dyDescent="0.2">
      <c r="D74" s="5"/>
      <c r="E74" s="5"/>
      <c r="F74" s="5"/>
      <c r="G74" s="7"/>
      <c r="H74" s="7"/>
      <c r="I74" s="7"/>
      <c r="J74" s="6"/>
      <c r="K74" s="18"/>
    </row>
    <row r="75" spans="4:11" x14ac:dyDescent="0.2">
      <c r="D75" s="5"/>
      <c r="E75" s="5"/>
      <c r="F75" s="5"/>
      <c r="G75" s="7"/>
      <c r="H75" s="7"/>
      <c r="I75" s="7"/>
      <c r="J75" s="6"/>
      <c r="K75" s="18"/>
    </row>
    <row r="76" spans="4:11" x14ac:dyDescent="0.2">
      <c r="D76" s="5"/>
      <c r="E76" s="5"/>
      <c r="F76" s="5"/>
      <c r="G76" s="7"/>
      <c r="H76" s="7"/>
      <c r="I76" s="7"/>
      <c r="J76" s="6"/>
      <c r="K76" s="18"/>
    </row>
    <row r="77" spans="4:11" x14ac:dyDescent="0.2">
      <c r="D77" s="5"/>
      <c r="E77" s="5"/>
      <c r="F77" s="5"/>
      <c r="G77" s="7"/>
      <c r="H77" s="7"/>
      <c r="I77" s="7"/>
      <c r="J77" s="6"/>
      <c r="K77" s="18"/>
    </row>
    <row r="78" spans="4:11" x14ac:dyDescent="0.2">
      <c r="D78" s="5"/>
      <c r="E78" s="5"/>
      <c r="F78" s="5"/>
      <c r="G78" s="7"/>
      <c r="H78" s="7"/>
      <c r="I78" s="7"/>
      <c r="J78" s="6"/>
      <c r="K78" s="18"/>
    </row>
    <row r="79" spans="4:11" x14ac:dyDescent="0.2">
      <c r="D79" s="5"/>
      <c r="E79" s="5"/>
      <c r="F79" s="5"/>
      <c r="G79" s="7"/>
      <c r="H79" s="7"/>
      <c r="I79" s="7"/>
      <c r="J79" s="6"/>
      <c r="K79" s="18"/>
    </row>
    <row r="80" spans="4:11" x14ac:dyDescent="0.2">
      <c r="D80" s="5"/>
      <c r="E80" s="5"/>
      <c r="F80" s="5"/>
      <c r="G80" s="7"/>
      <c r="H80" s="7"/>
      <c r="I80" s="7"/>
      <c r="J80" s="6"/>
      <c r="K80" s="18"/>
    </row>
    <row r="81" spans="4:11" x14ac:dyDescent="0.2">
      <c r="D81" s="5"/>
      <c r="E81" s="5"/>
      <c r="F81" s="5"/>
      <c r="G81" s="7"/>
      <c r="H81" s="7"/>
      <c r="I81" s="7"/>
      <c r="J81" s="6"/>
      <c r="K81" s="18"/>
    </row>
    <row r="82" spans="4:11" x14ac:dyDescent="0.2">
      <c r="D82" s="5"/>
      <c r="E82" s="5"/>
      <c r="F82" s="5"/>
      <c r="G82" s="7"/>
      <c r="H82" s="7"/>
      <c r="I82" s="7"/>
      <c r="J82" s="6"/>
      <c r="K82" s="18"/>
    </row>
    <row r="83" spans="4:11" x14ac:dyDescent="0.2">
      <c r="D83" s="5"/>
      <c r="E83" s="5"/>
      <c r="F83" s="5"/>
      <c r="G83" s="7"/>
      <c r="H83" s="7"/>
      <c r="I83" s="7"/>
      <c r="J83" s="6"/>
      <c r="K83" s="18"/>
    </row>
    <row r="84" spans="4:11" x14ac:dyDescent="0.2">
      <c r="D84" s="5"/>
      <c r="E84" s="5"/>
      <c r="F84" s="5"/>
      <c r="G84" s="7"/>
      <c r="H84" s="7"/>
      <c r="I84" s="7"/>
      <c r="J84" s="6"/>
      <c r="K84" s="18"/>
    </row>
    <row r="85" spans="4:11" x14ac:dyDescent="0.2">
      <c r="D85" s="5"/>
      <c r="E85" s="5"/>
      <c r="F85" s="5"/>
      <c r="G85" s="7"/>
      <c r="H85" s="7"/>
      <c r="I85" s="7"/>
      <c r="J85" s="6"/>
      <c r="K85" s="18"/>
    </row>
    <row r="86" spans="4:11" x14ac:dyDescent="0.2">
      <c r="D86" s="5"/>
      <c r="E86" s="5"/>
      <c r="F86" s="5"/>
      <c r="G86" s="7"/>
      <c r="H86" s="7"/>
      <c r="I86" s="7"/>
      <c r="J86" s="6"/>
      <c r="K86" s="18"/>
    </row>
    <row r="87" spans="4:11" x14ac:dyDescent="0.2">
      <c r="D87" s="5"/>
      <c r="E87" s="5"/>
      <c r="F87" s="5"/>
      <c r="G87" s="7"/>
      <c r="H87" s="7"/>
      <c r="I87" s="7"/>
      <c r="J87" s="6"/>
      <c r="K87" s="18"/>
    </row>
    <row r="88" spans="4:11" x14ac:dyDescent="0.2">
      <c r="D88" s="5"/>
      <c r="E88" s="5"/>
      <c r="F88" s="5"/>
      <c r="G88" s="7"/>
      <c r="H88" s="7"/>
      <c r="I88" s="7"/>
      <c r="J88" s="6"/>
      <c r="K88" s="18"/>
    </row>
    <row r="89" spans="4:11" x14ac:dyDescent="0.2">
      <c r="D89" s="5"/>
      <c r="E89" s="5"/>
      <c r="F89" s="5"/>
      <c r="G89" s="7"/>
      <c r="H89" s="7"/>
      <c r="I89" s="7"/>
      <c r="J89" s="6"/>
      <c r="K89" s="18"/>
    </row>
    <row r="90" spans="4:11" x14ac:dyDescent="0.2">
      <c r="D90" s="5"/>
      <c r="E90" s="5"/>
      <c r="F90" s="5"/>
      <c r="G90" s="7"/>
      <c r="H90" s="7"/>
      <c r="I90" s="7"/>
      <c r="J90" s="6"/>
      <c r="K90" s="18"/>
    </row>
    <row r="91" spans="4:11" x14ac:dyDescent="0.2">
      <c r="D91" s="5"/>
      <c r="E91" s="5"/>
      <c r="F91" s="5"/>
      <c r="G91" s="7"/>
      <c r="H91" s="7"/>
      <c r="I91" s="7"/>
      <c r="J91" s="6"/>
      <c r="K91" s="18"/>
    </row>
    <row r="92" spans="4:11" x14ac:dyDescent="0.2">
      <c r="D92" s="5"/>
      <c r="E92" s="5"/>
      <c r="F92" s="5"/>
      <c r="G92" s="7"/>
      <c r="H92" s="7"/>
      <c r="I92" s="7"/>
      <c r="J92" s="6"/>
      <c r="K92" s="18"/>
    </row>
    <row r="93" spans="4:11" x14ac:dyDescent="0.2">
      <c r="D93" s="5"/>
      <c r="E93" s="5"/>
      <c r="F93" s="5"/>
      <c r="G93" s="7"/>
      <c r="H93" s="7"/>
      <c r="I93" s="7"/>
      <c r="J93" s="6"/>
      <c r="K93" s="18"/>
    </row>
    <row r="94" spans="4:11" x14ac:dyDescent="0.2">
      <c r="D94" s="5"/>
      <c r="E94" s="5"/>
      <c r="F94" s="5"/>
      <c r="G94" s="7"/>
      <c r="H94" s="7"/>
      <c r="I94" s="7"/>
      <c r="J94" s="6"/>
      <c r="K94" s="18"/>
    </row>
    <row r="95" spans="4:11" x14ac:dyDescent="0.2">
      <c r="D95" s="5"/>
      <c r="E95" s="5"/>
      <c r="F95" s="5"/>
      <c r="G95" s="7"/>
      <c r="H95" s="7"/>
      <c r="I95" s="7"/>
      <c r="J95" s="6"/>
      <c r="K95" s="18"/>
    </row>
    <row r="96" spans="4:11" x14ac:dyDescent="0.2">
      <c r="D96" s="5"/>
      <c r="E96" s="5"/>
      <c r="F96" s="5"/>
      <c r="G96" s="7"/>
      <c r="H96" s="7"/>
      <c r="I96" s="7"/>
      <c r="J96" s="6"/>
      <c r="K96" s="18"/>
    </row>
    <row r="97" spans="4:11" x14ac:dyDescent="0.2">
      <c r="D97" s="5"/>
      <c r="E97" s="5"/>
      <c r="F97" s="5"/>
      <c r="G97" s="7"/>
      <c r="H97" s="7"/>
      <c r="I97" s="7"/>
      <c r="J97" s="6"/>
      <c r="K97" s="18"/>
    </row>
    <row r="98" spans="4:11" x14ac:dyDescent="0.2">
      <c r="D98" s="5"/>
      <c r="E98" s="5"/>
      <c r="F98" s="5"/>
      <c r="G98" s="7"/>
      <c r="H98" s="7"/>
      <c r="I98" s="7"/>
      <c r="J98" s="6"/>
      <c r="K98" s="18"/>
    </row>
    <row r="99" spans="4:11" x14ac:dyDescent="0.2">
      <c r="D99" s="5"/>
      <c r="E99" s="5"/>
      <c r="F99" s="5"/>
      <c r="G99" s="7"/>
      <c r="H99" s="7"/>
      <c r="I99" s="7"/>
      <c r="J99" s="6"/>
      <c r="K99" s="18"/>
    </row>
    <row r="100" spans="4:11" x14ac:dyDescent="0.2">
      <c r="D100" s="5"/>
      <c r="E100" s="5"/>
      <c r="F100" s="5"/>
      <c r="G100" s="7"/>
      <c r="H100" s="7"/>
      <c r="I100" s="7"/>
      <c r="J100" s="6"/>
      <c r="K100" s="18"/>
    </row>
    <row r="101" spans="4:11" x14ac:dyDescent="0.2">
      <c r="D101" s="5"/>
      <c r="E101" s="5"/>
      <c r="F101" s="5"/>
      <c r="G101" s="7"/>
      <c r="H101" s="7"/>
      <c r="I101" s="7"/>
      <c r="J101" s="6"/>
      <c r="K101" s="18"/>
    </row>
    <row r="102" spans="4:11" x14ac:dyDescent="0.2">
      <c r="D102" s="5"/>
      <c r="E102" s="5"/>
      <c r="F102" s="5"/>
      <c r="G102" s="7"/>
      <c r="H102" s="7"/>
      <c r="I102" s="7"/>
      <c r="J102" s="6"/>
      <c r="K102" s="18"/>
    </row>
    <row r="103" spans="4:11" x14ac:dyDescent="0.2">
      <c r="D103" s="5"/>
      <c r="E103" s="5"/>
      <c r="F103" s="5"/>
      <c r="G103" s="7"/>
      <c r="H103" s="7"/>
      <c r="I103" s="7"/>
      <c r="J103" s="6"/>
      <c r="K103" s="18"/>
    </row>
    <row r="104" spans="4:11" x14ac:dyDescent="0.2">
      <c r="D104" s="5"/>
      <c r="E104" s="5"/>
      <c r="F104" s="5"/>
      <c r="G104" s="7"/>
      <c r="H104" s="7"/>
      <c r="I104" s="7"/>
      <c r="J104" s="6"/>
      <c r="K104" s="18"/>
    </row>
    <row r="105" spans="4:11" x14ac:dyDescent="0.2">
      <c r="D105" s="5"/>
      <c r="E105" s="5"/>
      <c r="F105" s="5"/>
      <c r="G105" s="7"/>
      <c r="H105" s="7"/>
      <c r="I105" s="7"/>
      <c r="J105" s="6"/>
      <c r="K105" s="18"/>
    </row>
    <row r="106" spans="4:11" x14ac:dyDescent="0.2">
      <c r="D106" s="5"/>
      <c r="E106" s="5"/>
      <c r="F106" s="5"/>
      <c r="G106" s="7"/>
      <c r="H106" s="7"/>
      <c r="I106" s="7"/>
      <c r="J106" s="6"/>
      <c r="K106" s="18"/>
    </row>
    <row r="107" spans="4:11" x14ac:dyDescent="0.2">
      <c r="D107" s="5"/>
      <c r="E107" s="5"/>
      <c r="F107" s="5"/>
      <c r="G107" s="7"/>
      <c r="H107" s="7"/>
      <c r="I107" s="7"/>
      <c r="J107" s="6"/>
      <c r="K107" s="18"/>
    </row>
    <row r="108" spans="4:11" x14ac:dyDescent="0.2">
      <c r="D108" s="5"/>
      <c r="E108" s="5"/>
      <c r="F108" s="5"/>
      <c r="G108" s="7"/>
      <c r="H108" s="7"/>
      <c r="I108" s="7"/>
      <c r="J108" s="6"/>
      <c r="K108" s="18"/>
    </row>
    <row r="109" spans="4:11" x14ac:dyDescent="0.2">
      <c r="D109" s="5"/>
      <c r="E109" s="5"/>
      <c r="F109" s="5"/>
      <c r="G109" s="7"/>
      <c r="H109" s="7"/>
      <c r="I109" s="7"/>
      <c r="J109" s="6"/>
      <c r="K109" s="18"/>
    </row>
    <row r="110" spans="4:11" x14ac:dyDescent="0.2">
      <c r="D110" s="5"/>
      <c r="E110" s="5"/>
      <c r="F110" s="5"/>
      <c r="G110" s="7"/>
      <c r="H110" s="7"/>
      <c r="I110" s="7"/>
      <c r="J110" s="6"/>
      <c r="K110" s="18"/>
    </row>
    <row r="111" spans="4:11" x14ac:dyDescent="0.2">
      <c r="D111" s="5"/>
      <c r="E111" s="5"/>
      <c r="F111" s="5"/>
      <c r="G111" s="7"/>
      <c r="H111" s="7"/>
      <c r="I111" s="7"/>
      <c r="J111" s="6"/>
      <c r="K111" s="18"/>
    </row>
    <row r="112" spans="4:11" x14ac:dyDescent="0.2">
      <c r="D112" s="5"/>
      <c r="E112" s="5"/>
      <c r="F112" s="5"/>
      <c r="G112" s="7"/>
      <c r="H112" s="7"/>
      <c r="I112" s="7"/>
      <c r="J112" s="6"/>
      <c r="K112" s="18"/>
    </row>
    <row r="113" spans="4:11" x14ac:dyDescent="0.2">
      <c r="D113" s="5"/>
      <c r="E113" s="5"/>
      <c r="F113" s="5"/>
      <c r="G113" s="7"/>
      <c r="H113" s="7"/>
      <c r="I113" s="7"/>
      <c r="J113" s="6"/>
      <c r="K113" s="18"/>
    </row>
    <row r="114" spans="4:11" x14ac:dyDescent="0.2">
      <c r="D114" s="5"/>
      <c r="E114" s="5"/>
      <c r="F114" s="5"/>
      <c r="G114" s="7"/>
      <c r="H114" s="7"/>
      <c r="I114" s="7"/>
      <c r="J114" s="6"/>
      <c r="K114" s="18"/>
    </row>
    <row r="115" spans="4:11" x14ac:dyDescent="0.2">
      <c r="D115" s="5"/>
      <c r="E115" s="5"/>
      <c r="F115" s="5"/>
      <c r="G115" s="7"/>
      <c r="H115" s="7"/>
      <c r="I115" s="7"/>
      <c r="J115" s="6"/>
      <c r="K115" s="18"/>
    </row>
    <row r="116" spans="4:11" x14ac:dyDescent="0.2">
      <c r="D116" s="5"/>
      <c r="E116" s="5"/>
      <c r="F116" s="5"/>
      <c r="G116" s="7"/>
      <c r="H116" s="7"/>
      <c r="I116" s="7"/>
      <c r="J116" s="6"/>
      <c r="K116" s="18"/>
    </row>
    <row r="117" spans="4:11" x14ac:dyDescent="0.2">
      <c r="D117" s="5"/>
      <c r="E117" s="5"/>
      <c r="F117" s="5"/>
      <c r="G117" s="7"/>
      <c r="H117" s="7"/>
      <c r="I117" s="7"/>
      <c r="J117" s="6"/>
      <c r="K117" s="18"/>
    </row>
    <row r="118" spans="4:11" x14ac:dyDescent="0.2">
      <c r="D118" s="5"/>
      <c r="E118" s="5"/>
      <c r="F118" s="5"/>
      <c r="G118" s="7"/>
      <c r="H118" s="7"/>
      <c r="I118" s="7"/>
      <c r="J118" s="6"/>
      <c r="K118" s="18"/>
    </row>
    <row r="119" spans="4:11" x14ac:dyDescent="0.2">
      <c r="D119" s="5"/>
      <c r="E119" s="5"/>
      <c r="F119" s="5"/>
      <c r="G119" s="7"/>
      <c r="H119" s="7"/>
      <c r="I119" s="7"/>
      <c r="J119" s="6"/>
      <c r="K119" s="18"/>
    </row>
    <row r="120" spans="4:11" x14ac:dyDescent="0.2">
      <c r="D120" s="5"/>
      <c r="E120" s="5"/>
      <c r="F120" s="5"/>
      <c r="G120" s="7"/>
      <c r="H120" s="7"/>
      <c r="I120" s="7"/>
      <c r="J120" s="6"/>
      <c r="K120" s="18"/>
    </row>
    <row r="121" spans="4:11" x14ac:dyDescent="0.2">
      <c r="D121" s="5"/>
      <c r="E121" s="5"/>
      <c r="F121" s="5"/>
      <c r="G121" s="7"/>
      <c r="H121" s="7"/>
      <c r="I121" s="7"/>
      <c r="J121" s="6"/>
      <c r="K121" s="18"/>
    </row>
    <row r="122" spans="4:11" x14ac:dyDescent="0.2">
      <c r="D122" s="5"/>
      <c r="E122" s="5"/>
      <c r="F122" s="5"/>
      <c r="G122" s="7"/>
      <c r="H122" s="7"/>
      <c r="I122" s="7"/>
      <c r="J122" s="6"/>
      <c r="K122" s="18"/>
    </row>
    <row r="123" spans="4:11" x14ac:dyDescent="0.2">
      <c r="D123" s="5"/>
      <c r="E123" s="5"/>
      <c r="F123" s="5"/>
      <c r="G123" s="7"/>
      <c r="H123" s="7"/>
      <c r="I123" s="7"/>
      <c r="J123" s="6"/>
      <c r="K123" s="18"/>
    </row>
    <row r="124" spans="4:11" x14ac:dyDescent="0.2">
      <c r="D124" s="5"/>
      <c r="E124" s="5"/>
      <c r="F124" s="5"/>
      <c r="G124" s="7"/>
      <c r="H124" s="7"/>
      <c r="I124" s="7"/>
      <c r="J124" s="6"/>
      <c r="K124" s="18"/>
    </row>
    <row r="125" spans="4:11" x14ac:dyDescent="0.2">
      <c r="D125" s="5"/>
      <c r="E125" s="5"/>
      <c r="F125" s="5"/>
      <c r="G125" s="7"/>
      <c r="H125" s="7"/>
      <c r="I125" s="7"/>
      <c r="J125" s="6"/>
      <c r="K125" s="18"/>
    </row>
    <row r="126" spans="4:11" x14ac:dyDescent="0.2">
      <c r="D126" s="5"/>
      <c r="E126" s="5"/>
      <c r="F126" s="5"/>
      <c r="G126" s="7"/>
      <c r="H126" s="7"/>
      <c r="I126" s="7"/>
      <c r="J126" s="6"/>
      <c r="K126" s="18"/>
    </row>
    <row r="127" spans="4:11" x14ac:dyDescent="0.2">
      <c r="D127" s="5"/>
      <c r="E127" s="5"/>
      <c r="F127" s="5"/>
      <c r="G127" s="7"/>
      <c r="H127" s="7"/>
      <c r="I127" s="7"/>
      <c r="J127" s="6"/>
      <c r="K127" s="18"/>
    </row>
    <row r="128" spans="4:11" x14ac:dyDescent="0.2">
      <c r="D128" s="5"/>
      <c r="E128" s="5"/>
      <c r="F128" s="5"/>
      <c r="G128" s="7"/>
      <c r="H128" s="7"/>
      <c r="I128" s="7"/>
      <c r="J128" s="6"/>
      <c r="K128" s="18"/>
    </row>
    <row r="129" spans="4:11" x14ac:dyDescent="0.2">
      <c r="D129" s="5"/>
      <c r="E129" s="5"/>
      <c r="F129" s="5"/>
      <c r="G129" s="7"/>
      <c r="H129" s="7"/>
      <c r="I129" s="7"/>
      <c r="J129" s="6"/>
      <c r="K129" s="18"/>
    </row>
    <row r="130" spans="4:11" x14ac:dyDescent="0.2">
      <c r="D130" s="5"/>
      <c r="E130" s="5"/>
      <c r="F130" s="5"/>
      <c r="G130" s="7"/>
      <c r="H130" s="7"/>
      <c r="I130" s="7"/>
      <c r="J130" s="6"/>
      <c r="K130" s="18"/>
    </row>
    <row r="131" spans="4:11" x14ac:dyDescent="0.2">
      <c r="D131" s="5"/>
      <c r="E131" s="5"/>
      <c r="F131" s="5"/>
      <c r="G131" s="7"/>
      <c r="H131" s="7"/>
      <c r="I131" s="7"/>
      <c r="J131" s="6"/>
      <c r="K131" s="18"/>
    </row>
    <row r="132" spans="4:11" x14ac:dyDescent="0.2">
      <c r="D132" s="5"/>
      <c r="E132" s="5"/>
      <c r="F132" s="5"/>
      <c r="G132" s="7"/>
      <c r="H132" s="7"/>
      <c r="I132" s="7"/>
      <c r="J132" s="6"/>
      <c r="K132" s="18"/>
    </row>
    <row r="133" spans="4:11" x14ac:dyDescent="0.2">
      <c r="D133" s="5"/>
      <c r="E133" s="5"/>
      <c r="F133" s="5"/>
      <c r="G133" s="7"/>
      <c r="H133" s="7"/>
      <c r="I133" s="7"/>
      <c r="J133" s="6"/>
      <c r="K133" s="18"/>
    </row>
    <row r="134" spans="4:11" x14ac:dyDescent="0.2">
      <c r="D134" s="5"/>
      <c r="E134" s="5"/>
      <c r="F134" s="5"/>
      <c r="G134" s="7"/>
      <c r="H134" s="7"/>
      <c r="I134" s="7"/>
      <c r="J134" s="6"/>
      <c r="K134" s="18"/>
    </row>
    <row r="135" spans="4:11" x14ac:dyDescent="0.2">
      <c r="D135" s="5"/>
      <c r="E135" s="5"/>
      <c r="F135" s="5"/>
      <c r="G135" s="7"/>
      <c r="H135" s="7"/>
      <c r="I135" s="7"/>
      <c r="J135" s="6"/>
      <c r="K135" s="18"/>
    </row>
    <row r="136" spans="4:11" x14ac:dyDescent="0.2">
      <c r="D136" s="5"/>
      <c r="E136" s="5"/>
      <c r="F136" s="5"/>
      <c r="G136" s="7"/>
      <c r="H136" s="7"/>
      <c r="I136" s="7"/>
      <c r="J136" s="6"/>
      <c r="K136" s="18"/>
    </row>
    <row r="137" spans="4:11" x14ac:dyDescent="0.2">
      <c r="D137" s="5"/>
      <c r="E137" s="5"/>
      <c r="F137" s="5"/>
      <c r="G137" s="7"/>
      <c r="H137" s="7"/>
      <c r="I137" s="7"/>
      <c r="J137" s="6"/>
      <c r="K137" s="18"/>
    </row>
    <row r="138" spans="4:11" x14ac:dyDescent="0.2">
      <c r="D138" s="5"/>
      <c r="E138" s="5"/>
      <c r="F138" s="5"/>
      <c r="G138" s="7"/>
      <c r="H138" s="7"/>
      <c r="I138" s="7"/>
      <c r="J138" s="6"/>
      <c r="K138" s="18"/>
    </row>
    <row r="139" spans="4:11" x14ac:dyDescent="0.2">
      <c r="D139" s="5"/>
      <c r="E139" s="5"/>
      <c r="F139" s="5"/>
      <c r="G139" s="7"/>
      <c r="H139" s="7"/>
      <c r="I139" s="7"/>
      <c r="J139" s="6"/>
      <c r="K139" s="18"/>
    </row>
    <row r="140" spans="4:11" x14ac:dyDescent="0.2">
      <c r="D140" s="5"/>
      <c r="E140" s="5"/>
      <c r="F140" s="5"/>
      <c r="G140" s="7"/>
      <c r="H140" s="7"/>
      <c r="I140" s="7"/>
      <c r="J140" s="6"/>
      <c r="K140" s="18"/>
    </row>
    <row r="141" spans="4:11" x14ac:dyDescent="0.2">
      <c r="D141" s="5"/>
      <c r="E141" s="5"/>
      <c r="F141" s="5"/>
      <c r="G141" s="7"/>
      <c r="H141" s="7"/>
      <c r="I141" s="7"/>
      <c r="J141" s="6"/>
      <c r="K141" s="18"/>
    </row>
    <row r="142" spans="4:11" x14ac:dyDescent="0.2">
      <c r="D142" s="5"/>
      <c r="E142" s="5"/>
      <c r="F142" s="5"/>
      <c r="G142" s="7"/>
      <c r="H142" s="7"/>
      <c r="I142" s="7"/>
      <c r="J142" s="6"/>
      <c r="K142" s="18"/>
    </row>
    <row r="143" spans="4:11" x14ac:dyDescent="0.2">
      <c r="D143" s="5"/>
      <c r="E143" s="5"/>
      <c r="F143" s="5"/>
      <c r="G143" s="7"/>
      <c r="H143" s="7"/>
      <c r="I143" s="7"/>
      <c r="J143" s="6"/>
      <c r="K143" s="18"/>
    </row>
    <row r="144" spans="4:11" x14ac:dyDescent="0.2">
      <c r="D144" s="5"/>
      <c r="E144" s="5"/>
      <c r="F144" s="5"/>
      <c r="G144" s="7"/>
      <c r="H144" s="7"/>
      <c r="I144" s="7"/>
      <c r="J144" s="6"/>
      <c r="K144" s="18"/>
    </row>
    <row r="145" spans="4:11" x14ac:dyDescent="0.2">
      <c r="D145" s="5"/>
      <c r="E145" s="5"/>
      <c r="F145" s="5"/>
      <c r="G145" s="7"/>
      <c r="H145" s="7"/>
      <c r="I145" s="7"/>
      <c r="J145" s="6"/>
      <c r="K145" s="18"/>
    </row>
    <row r="146" spans="4:11" x14ac:dyDescent="0.2">
      <c r="D146" s="5"/>
      <c r="E146" s="5"/>
      <c r="F146" s="5"/>
      <c r="G146" s="7"/>
      <c r="H146" s="7"/>
      <c r="I146" s="7"/>
      <c r="J146" s="6"/>
      <c r="K146" s="18"/>
    </row>
    <row r="147" spans="4:11" x14ac:dyDescent="0.2">
      <c r="D147" s="5"/>
      <c r="E147" s="5"/>
      <c r="F147" s="5"/>
      <c r="G147" s="7"/>
      <c r="H147" s="7"/>
      <c r="I147" s="7"/>
      <c r="J147" s="6"/>
      <c r="K147" s="18"/>
    </row>
    <row r="148" spans="4:11" x14ac:dyDescent="0.2">
      <c r="D148" s="5"/>
      <c r="E148" s="5"/>
      <c r="F148" s="5"/>
      <c r="G148" s="7"/>
      <c r="H148" s="7"/>
      <c r="I148" s="7"/>
      <c r="J148" s="6"/>
      <c r="K148" s="18"/>
    </row>
    <row r="149" spans="4:11" x14ac:dyDescent="0.2">
      <c r="D149" s="5"/>
      <c r="E149" s="5"/>
      <c r="F149" s="5"/>
      <c r="G149" s="7"/>
      <c r="H149" s="7"/>
      <c r="I149" s="7"/>
      <c r="J149" s="6"/>
      <c r="K149" s="18"/>
    </row>
    <row r="150" spans="4:11" x14ac:dyDescent="0.2">
      <c r="D150" s="5"/>
      <c r="E150" s="5"/>
      <c r="F150" s="5"/>
      <c r="G150" s="7"/>
      <c r="H150" s="7"/>
      <c r="I150" s="7"/>
      <c r="J150" s="6"/>
      <c r="K150" s="18"/>
    </row>
    <row r="151" spans="4:11" x14ac:dyDescent="0.2">
      <c r="D151" s="5"/>
      <c r="E151" s="5"/>
      <c r="F151" s="5"/>
      <c r="G151" s="7"/>
      <c r="H151" s="7"/>
      <c r="I151" s="7"/>
      <c r="J151" s="6"/>
      <c r="K151" s="18"/>
    </row>
    <row r="152" spans="4:11" x14ac:dyDescent="0.2">
      <c r="D152" s="5"/>
      <c r="E152" s="5"/>
      <c r="F152" s="5"/>
      <c r="G152" s="7"/>
      <c r="H152" s="7"/>
      <c r="I152" s="7"/>
      <c r="J152" s="6"/>
      <c r="K152" s="18"/>
    </row>
    <row r="153" spans="4:11" x14ac:dyDescent="0.2">
      <c r="D153" s="5"/>
      <c r="E153" s="5"/>
      <c r="F153" s="5"/>
      <c r="G153" s="7"/>
      <c r="H153" s="7"/>
      <c r="I153" s="7"/>
      <c r="J153" s="6"/>
      <c r="K153" s="18"/>
    </row>
    <row r="154" spans="4:11" x14ac:dyDescent="0.2">
      <c r="D154" s="5"/>
      <c r="E154" s="5"/>
      <c r="F154" s="5"/>
      <c r="G154" s="7"/>
      <c r="H154" s="7"/>
      <c r="I154" s="7"/>
      <c r="J154" s="6"/>
      <c r="K154" s="18"/>
    </row>
    <row r="155" spans="4:11" x14ac:dyDescent="0.2">
      <c r="D155" s="5"/>
      <c r="E155" s="5"/>
      <c r="F155" s="5"/>
      <c r="G155" s="7"/>
      <c r="H155" s="7"/>
      <c r="I155" s="7"/>
      <c r="J155" s="6"/>
      <c r="K155" s="18"/>
    </row>
    <row r="156" spans="4:11" x14ac:dyDescent="0.2">
      <c r="D156" s="5"/>
      <c r="E156" s="5"/>
      <c r="F156" s="5"/>
      <c r="G156" s="7"/>
      <c r="H156" s="7"/>
      <c r="I156" s="7"/>
      <c r="J156" s="6"/>
      <c r="K156" s="18"/>
    </row>
    <row r="157" spans="4:11" x14ac:dyDescent="0.2">
      <c r="D157" s="5"/>
      <c r="E157" s="5"/>
      <c r="F157" s="5"/>
      <c r="G157" s="7"/>
      <c r="H157" s="7"/>
      <c r="I157" s="7"/>
      <c r="J157" s="6"/>
      <c r="K157" s="18"/>
    </row>
    <row r="158" spans="4:11" x14ac:dyDescent="0.2">
      <c r="D158" s="5"/>
      <c r="E158" s="5"/>
      <c r="F158" s="5"/>
      <c r="G158" s="7"/>
      <c r="H158" s="7"/>
      <c r="I158" s="7"/>
      <c r="J158" s="6"/>
      <c r="K158" s="18"/>
    </row>
    <row r="159" spans="4:11" x14ac:dyDescent="0.2">
      <c r="D159" s="5"/>
      <c r="E159" s="5"/>
      <c r="F159" s="5"/>
      <c r="G159" s="7"/>
      <c r="H159" s="7"/>
      <c r="I159" s="7"/>
      <c r="J159" s="6"/>
      <c r="K159" s="18"/>
    </row>
    <row r="160" spans="4:11" x14ac:dyDescent="0.2">
      <c r="D160" s="5"/>
      <c r="E160" s="5"/>
      <c r="F160" s="5"/>
      <c r="G160" s="7"/>
      <c r="H160" s="7"/>
      <c r="I160" s="7"/>
      <c r="J160" s="6"/>
      <c r="K160" s="18"/>
    </row>
    <row r="161" spans="4:11" x14ac:dyDescent="0.2">
      <c r="D161" s="5"/>
      <c r="E161" s="5"/>
      <c r="F161" s="5"/>
      <c r="G161" s="7"/>
      <c r="H161" s="7"/>
      <c r="I161" s="7"/>
      <c r="J161" s="6"/>
      <c r="K161" s="18"/>
    </row>
    <row r="162" spans="4:11" x14ac:dyDescent="0.2">
      <c r="D162" s="5"/>
      <c r="E162" s="5"/>
      <c r="F162" s="5"/>
      <c r="G162" s="7"/>
      <c r="H162" s="7"/>
      <c r="I162" s="7"/>
      <c r="J162" s="6"/>
      <c r="K162" s="18"/>
    </row>
    <row r="163" spans="4:11" x14ac:dyDescent="0.2">
      <c r="D163" s="5"/>
      <c r="E163" s="5"/>
      <c r="F163" s="5"/>
      <c r="G163" s="7"/>
      <c r="H163" s="7"/>
      <c r="I163" s="7"/>
      <c r="J163" s="6"/>
      <c r="K163" s="18"/>
    </row>
    <row r="164" spans="4:11" x14ac:dyDescent="0.2">
      <c r="D164" s="5"/>
      <c r="E164" s="5"/>
      <c r="F164" s="5"/>
      <c r="G164" s="7"/>
      <c r="H164" s="7"/>
      <c r="I164" s="7"/>
      <c r="J164" s="6"/>
      <c r="K164" s="18"/>
    </row>
    <row r="165" spans="4:11" x14ac:dyDescent="0.2">
      <c r="D165" s="5"/>
      <c r="E165" s="5"/>
      <c r="F165" s="5"/>
      <c r="G165" s="7"/>
      <c r="H165" s="7"/>
      <c r="I165" s="7"/>
      <c r="J165" s="6"/>
      <c r="K165" s="18"/>
    </row>
    <row r="166" spans="4:11" x14ac:dyDescent="0.2">
      <c r="D166" s="5"/>
      <c r="E166" s="5"/>
      <c r="F166" s="5"/>
      <c r="G166" s="7"/>
      <c r="H166" s="7"/>
      <c r="I166" s="7"/>
      <c r="J166" s="6"/>
      <c r="K166" s="18"/>
    </row>
    <row r="167" spans="4:11" x14ac:dyDescent="0.2">
      <c r="D167" s="5"/>
      <c r="E167" s="5"/>
      <c r="F167" s="5"/>
      <c r="G167" s="7"/>
      <c r="H167" s="7"/>
      <c r="I167" s="7"/>
      <c r="J167" s="6"/>
      <c r="K167" s="18"/>
    </row>
    <row r="168" spans="4:11" x14ac:dyDescent="0.2">
      <c r="D168" s="5"/>
      <c r="E168" s="5"/>
      <c r="F168" s="5"/>
      <c r="G168" s="7"/>
      <c r="H168" s="7"/>
      <c r="I168" s="7"/>
      <c r="J168" s="6"/>
      <c r="K168" s="18"/>
    </row>
    <row r="169" spans="4:11" x14ac:dyDescent="0.2">
      <c r="D169" s="5"/>
      <c r="E169" s="5"/>
      <c r="F169" s="5"/>
      <c r="G169" s="7"/>
      <c r="H169" s="7"/>
      <c r="I169" s="7"/>
      <c r="J169" s="6"/>
      <c r="K169" s="18"/>
    </row>
    <row r="170" spans="4:11" x14ac:dyDescent="0.2">
      <c r="D170" s="5"/>
      <c r="E170" s="5"/>
      <c r="F170" s="5"/>
      <c r="G170" s="7"/>
      <c r="H170" s="7"/>
      <c r="I170" s="7"/>
      <c r="J170" s="6"/>
      <c r="K170" s="18"/>
    </row>
    <row r="171" spans="4:11" x14ac:dyDescent="0.2">
      <c r="D171" s="5"/>
      <c r="E171" s="5"/>
      <c r="F171" s="5"/>
      <c r="G171" s="7"/>
      <c r="H171" s="7"/>
      <c r="I171" s="7"/>
      <c r="J171" s="6"/>
      <c r="K171" s="18"/>
    </row>
    <row r="172" spans="4:11" x14ac:dyDescent="0.2">
      <c r="D172" s="5"/>
      <c r="E172" s="5"/>
      <c r="F172" s="5"/>
      <c r="G172" s="7"/>
      <c r="H172" s="7"/>
      <c r="I172" s="7"/>
      <c r="J172" s="6"/>
      <c r="K172" s="18"/>
    </row>
    <row r="173" spans="4:11" x14ac:dyDescent="0.2">
      <c r="D173" s="5"/>
      <c r="E173" s="5"/>
      <c r="F173" s="5"/>
      <c r="G173" s="7"/>
      <c r="H173" s="7"/>
      <c r="I173" s="7"/>
      <c r="J173" s="6"/>
      <c r="K173" s="18"/>
    </row>
    <row r="174" spans="4:11" x14ac:dyDescent="0.2">
      <c r="D174" s="5"/>
      <c r="E174" s="5"/>
      <c r="F174" s="5"/>
      <c r="G174" s="7"/>
      <c r="H174" s="7"/>
      <c r="I174" s="7"/>
      <c r="J174" s="6"/>
      <c r="K174" s="18"/>
    </row>
    <row r="175" spans="4:11" x14ac:dyDescent="0.2">
      <c r="D175" s="5"/>
      <c r="E175" s="5"/>
      <c r="F175" s="5"/>
      <c r="G175" s="7"/>
      <c r="H175" s="7"/>
      <c r="I175" s="7"/>
      <c r="J175" s="6"/>
      <c r="K175" s="18"/>
    </row>
    <row r="176" spans="4:11" x14ac:dyDescent="0.2">
      <c r="D176" s="5"/>
      <c r="E176" s="5"/>
      <c r="F176" s="5"/>
      <c r="G176" s="7"/>
      <c r="H176" s="7"/>
      <c r="I176" s="7"/>
      <c r="J176" s="6"/>
      <c r="K176" s="18"/>
    </row>
    <row r="177" spans="4:11" x14ac:dyDescent="0.2">
      <c r="D177" s="5"/>
      <c r="E177" s="5"/>
      <c r="F177" s="5"/>
      <c r="G177" s="7"/>
      <c r="H177" s="7"/>
      <c r="I177" s="7"/>
      <c r="J177" s="6"/>
      <c r="K177" s="18"/>
    </row>
    <row r="178" spans="4:11" x14ac:dyDescent="0.2">
      <c r="D178" s="5"/>
      <c r="E178" s="5"/>
      <c r="F178" s="5"/>
      <c r="G178" s="7"/>
      <c r="H178" s="7"/>
      <c r="I178" s="7"/>
      <c r="J178" s="6"/>
      <c r="K178" s="18"/>
    </row>
    <row r="179" spans="4:11" x14ac:dyDescent="0.2">
      <c r="D179" s="5"/>
      <c r="E179" s="5"/>
      <c r="F179" s="5"/>
      <c r="G179" s="7"/>
      <c r="H179" s="7"/>
      <c r="I179" s="7"/>
      <c r="J179" s="6"/>
      <c r="K179" s="18"/>
    </row>
    <row r="180" spans="4:11" x14ac:dyDescent="0.2">
      <c r="D180" s="5"/>
      <c r="E180" s="5"/>
      <c r="F180" s="5"/>
      <c r="G180" s="7"/>
      <c r="H180" s="7"/>
      <c r="I180" s="7"/>
      <c r="J180" s="6"/>
      <c r="K180" s="18"/>
    </row>
    <row r="181" spans="4:11" x14ac:dyDescent="0.2">
      <c r="D181" s="5"/>
      <c r="E181" s="5"/>
      <c r="F181" s="5"/>
      <c r="G181" s="7"/>
      <c r="H181" s="7"/>
      <c r="I181" s="7"/>
      <c r="J181" s="6"/>
      <c r="K181" s="18"/>
    </row>
    <row r="182" spans="4:11" x14ac:dyDescent="0.2">
      <c r="D182" s="5"/>
      <c r="E182" s="5"/>
      <c r="F182" s="5"/>
      <c r="G182" s="7"/>
      <c r="H182" s="7"/>
      <c r="I182" s="7"/>
      <c r="J182" s="6"/>
      <c r="K182" s="18"/>
    </row>
    <row r="183" spans="4:11" x14ac:dyDescent="0.2">
      <c r="D183" s="5"/>
      <c r="E183" s="5"/>
      <c r="F183" s="5"/>
      <c r="G183" s="7"/>
      <c r="H183" s="7"/>
      <c r="I183" s="7"/>
      <c r="J183" s="6"/>
      <c r="K183" s="18"/>
    </row>
    <row r="184" spans="4:11" x14ac:dyDescent="0.2">
      <c r="D184" s="5"/>
      <c r="E184" s="5"/>
      <c r="F184" s="5"/>
      <c r="G184" s="7"/>
      <c r="H184" s="7"/>
      <c r="I184" s="7"/>
      <c r="J184" s="6"/>
      <c r="K184" s="18"/>
    </row>
    <row r="185" spans="4:11" x14ac:dyDescent="0.2">
      <c r="D185" s="5"/>
      <c r="E185" s="5"/>
      <c r="F185" s="5"/>
      <c r="G185" s="7"/>
      <c r="H185" s="7"/>
      <c r="I185" s="7"/>
      <c r="J185" s="6"/>
      <c r="K185" s="18"/>
    </row>
    <row r="186" spans="4:11" x14ac:dyDescent="0.2">
      <c r="D186" s="5"/>
      <c r="E186" s="5"/>
      <c r="F186" s="5"/>
      <c r="G186" s="7"/>
      <c r="H186" s="7"/>
      <c r="I186" s="7"/>
      <c r="J186" s="6"/>
      <c r="K186" s="18"/>
    </row>
    <row r="187" spans="4:11" x14ac:dyDescent="0.2">
      <c r="D187" s="5"/>
      <c r="E187" s="5"/>
      <c r="F187" s="5"/>
      <c r="G187" s="7"/>
      <c r="H187" s="7"/>
      <c r="I187" s="7"/>
      <c r="J187" s="6"/>
      <c r="K187" s="18"/>
    </row>
  </sheetData>
  <mergeCells count="7">
    <mergeCell ref="P10:P11"/>
    <mergeCell ref="I2:J2"/>
    <mergeCell ref="D10:F10"/>
    <mergeCell ref="G10:I10"/>
    <mergeCell ref="M10:M11"/>
    <mergeCell ref="O10:O11"/>
    <mergeCell ref="J10:J11"/>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workbookViewId="0">
      <selection activeCell="F55" sqref="F55"/>
    </sheetView>
  </sheetViews>
  <sheetFormatPr defaultRowHeight="12.75" x14ac:dyDescent="0.2"/>
  <cols>
    <col min="1" max="1" width="3.7109375" customWidth="1"/>
    <col min="2" max="2" width="25" customWidth="1"/>
    <col min="3" max="3" width="10.5703125" bestFit="1" customWidth="1"/>
    <col min="5" max="5" width="26.28515625" customWidth="1"/>
    <col min="6" max="6" width="13.5703125" customWidth="1"/>
    <col min="7" max="7" width="18" customWidth="1"/>
  </cols>
  <sheetData>
    <row r="2" spans="2:8" x14ac:dyDescent="0.2">
      <c r="B2" s="2" t="s">
        <v>110</v>
      </c>
      <c r="C2" s="199" t="s">
        <v>149</v>
      </c>
    </row>
    <row r="3" spans="2:8" ht="13.5" thickBot="1" x14ac:dyDescent="0.25"/>
    <row r="4" spans="2:8" ht="13.5" thickBot="1" x14ac:dyDescent="0.25">
      <c r="B4" s="159" t="s">
        <v>101</v>
      </c>
      <c r="C4" s="37" t="s">
        <v>114</v>
      </c>
      <c r="D4" s="37" t="s">
        <v>100</v>
      </c>
      <c r="E4" s="21" t="s">
        <v>110</v>
      </c>
    </row>
    <row r="5" spans="2:8" x14ac:dyDescent="0.2">
      <c r="B5" s="26">
        <v>1</v>
      </c>
      <c r="C5" s="196">
        <f ca="1">OFFSET('Minister triathlon Adj Swim'!$J$11, MATCH(B5, 'Minister triathlon Adj Swim'!$K$12:$K$41,0), 0)</f>
        <v>9.7152055701230436E-2</v>
      </c>
      <c r="D5" s="27">
        <f>VLOOKUP(B5,Parameters!$A$25:$B$27, 2)</f>
        <v>20</v>
      </c>
      <c r="E5" s="139">
        <f ca="1">Parameters!$B$22*D5*60*(Parameters!$B$29-C5)/Hour</f>
        <v>802.02079580456348</v>
      </c>
      <c r="G5" s="160"/>
      <c r="H5" s="137"/>
    </row>
    <row r="6" spans="2:8" x14ac:dyDescent="0.2">
      <c r="B6" s="28">
        <v>2</v>
      </c>
      <c r="C6" s="197">
        <f ca="1">OFFSET('Minister triathlon Adj Swim'!$J$11, MATCH(B6, 'Minister triathlon Adj Swim'!$K$12:$K$41,0), 0)</f>
        <v>9.9720576520999082E-2</v>
      </c>
      <c r="D6" s="29">
        <f>VLOOKUP(B6,Parameters!$A$25:$B$27, 2)</f>
        <v>7</v>
      </c>
      <c r="E6" s="140">
        <f ca="1">Parameters!$B$22*D6*60*(Parameters!$B$29-C6)/Hour</f>
        <v>254.81658866832927</v>
      </c>
    </row>
    <row r="7" spans="2:8" ht="13.5" thickBot="1" x14ac:dyDescent="0.25">
      <c r="B7" s="30">
        <v>3</v>
      </c>
      <c r="C7" s="198">
        <f ca="1">OFFSET('Minister triathlon Adj Swim'!$J$11, MATCH(B7, 'Minister triathlon Adj Swim'!$K$12:$K$41,0), 0)</f>
        <v>9.9962359648292753E-2</v>
      </c>
      <c r="D7" s="31">
        <f>VLOOKUP(B7,Parameters!$A$25:$B$27, 2)</f>
        <v>3</v>
      </c>
      <c r="E7" s="141">
        <f ca="1">Parameters!$B$22*D7*60*(Parameters!$B$29-C7)/Hour</f>
        <v>108.1626063193753</v>
      </c>
    </row>
    <row r="8" spans="2:8" ht="13.5" thickBot="1" x14ac:dyDescent="0.25"/>
    <row r="9" spans="2:8" ht="13.5" thickBot="1" x14ac:dyDescent="0.25">
      <c r="D9" s="69" t="s">
        <v>113</v>
      </c>
      <c r="E9" s="142">
        <f ca="1">SUM(E5:E7)</f>
        <v>1164.9999907922681</v>
      </c>
    </row>
    <row r="11" spans="2:8" ht="14.25" customHeight="1" x14ac:dyDescent="0.2">
      <c r="B11" s="2" t="s">
        <v>105</v>
      </c>
      <c r="E11" s="2" t="s">
        <v>108</v>
      </c>
    </row>
    <row r="12" spans="2:8" ht="14.25" customHeight="1" thickBot="1" x14ac:dyDescent="0.25">
      <c r="B12" s="56"/>
    </row>
    <row r="13" spans="2:8" x14ac:dyDescent="0.2">
      <c r="B13" s="143" t="s">
        <v>111</v>
      </c>
      <c r="C13" s="61">
        <f>(Parameters!B15-Parameters!A20)*Parameters!B17</f>
        <v>1000</v>
      </c>
      <c r="E13" s="143" t="s">
        <v>102</v>
      </c>
      <c r="F13" s="61">
        <f>Parameters!B31</f>
        <v>150</v>
      </c>
    </row>
    <row r="14" spans="2:8" ht="13.5" thickBot="1" x14ac:dyDescent="0.25">
      <c r="B14" s="144" t="s">
        <v>112</v>
      </c>
      <c r="C14" s="63">
        <f>Parameters!A20*Parameters!B17*(1-Parameters!B20)</f>
        <v>375</v>
      </c>
      <c r="E14" s="145" t="s">
        <v>109</v>
      </c>
      <c r="F14" s="62">
        <f>Parameters!B33*Parameters!B15</f>
        <v>60</v>
      </c>
    </row>
    <row r="15" spans="2:8" ht="13.5" thickBot="1" x14ac:dyDescent="0.25">
      <c r="B15" s="4"/>
      <c r="E15" s="144" t="s">
        <v>110</v>
      </c>
      <c r="F15" s="146">
        <f ca="1">E9</f>
        <v>1164.9999907922681</v>
      </c>
    </row>
    <row r="16" spans="2:8" ht="13.5" thickBot="1" x14ac:dyDescent="0.25">
      <c r="B16" s="4"/>
      <c r="E16" s="4"/>
    </row>
    <row r="17" spans="2:6" ht="13.5" thickBot="1" x14ac:dyDescent="0.25">
      <c r="B17" s="147" t="s">
        <v>113</v>
      </c>
      <c r="C17" s="64">
        <f>C13+C14</f>
        <v>1375</v>
      </c>
      <c r="E17" s="147" t="s">
        <v>113</v>
      </c>
      <c r="F17" s="148">
        <f ca="1">SUM(F13:F15)</f>
        <v>1374.9999907922681</v>
      </c>
    </row>
    <row r="18" spans="2:6" ht="13.5" thickBot="1" x14ac:dyDescent="0.25">
      <c r="B18" s="4"/>
    </row>
    <row r="19" spans="2:6" ht="13.5" thickBot="1" x14ac:dyDescent="0.25">
      <c r="B19" s="147" t="s">
        <v>115</v>
      </c>
      <c r="C19" s="148">
        <f ca="1">C17-F17</f>
        <v>9.2077318640804151E-6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Data</vt:lpstr>
      <vt:lpstr>Amended data</vt:lpstr>
      <vt:lpstr>Parameters</vt:lpstr>
      <vt:lpstr>Current speeds</vt:lpstr>
      <vt:lpstr>Minister triathlon</vt:lpstr>
      <vt:lpstr>Cashflows</vt:lpstr>
      <vt:lpstr>Summary results</vt:lpstr>
      <vt:lpstr>Minister triathlon Adj Swim</vt:lpstr>
      <vt:lpstr>Cashflows Adj Swim</vt:lpstr>
      <vt:lpstr>Bike_1</vt:lpstr>
      <vt:lpstr>bike_param</vt:lpstr>
      <vt:lpstr>Bike_sprint</vt:lpstr>
      <vt:lpstr>Hour</vt:lpstr>
      <vt:lpstr>Points_table</vt:lpstr>
      <vt:lpstr>Run_1</vt:lpstr>
      <vt:lpstr>run_param</vt:lpstr>
      <vt:lpstr>Run_sprint</vt:lpstr>
      <vt:lpstr>Swim_1</vt:lpstr>
      <vt:lpstr>swim_param</vt:lpstr>
      <vt:lpstr>Swim_sprint</vt:lpstr>
    </vt:vector>
  </TitlesOfParts>
  <Company>Towers Watson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Vickersmith (Birmingham)</dc:creator>
  <cp:lastModifiedBy>Colin Thores</cp:lastModifiedBy>
  <dcterms:created xsi:type="dcterms:W3CDTF">2013-02-28T16:01:23Z</dcterms:created>
  <dcterms:modified xsi:type="dcterms:W3CDTF">2017-05-05T09:08:05Z</dcterms:modified>
</cp:coreProperties>
</file>